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HQ Wootton Hall\CDD\Corporate Performance Team\Legitimacy\Use of Powers Board\Framework\2022\6. Jun\"/>
    </mc:Choice>
  </mc:AlternateContent>
  <xr:revisionPtr revIDLastSave="0" documentId="13_ncr:1_{2EFFA554-B485-4882-91BF-7B4406A4C2F9}" xr6:coauthVersionLast="47" xr6:coauthVersionMax="47" xr10:uidLastSave="{00000000-0000-0000-0000-000000000000}"/>
  <bookViews>
    <workbookView xWindow="28680" yWindow="-30" windowWidth="29040" windowHeight="15840" activeTab="4" xr2:uid="{00000000-000D-0000-FFFF-FFFF00000000}"/>
  </bookViews>
  <sheets>
    <sheet name="INSTRUCTIONS" sheetId="5" r:id="rId1"/>
    <sheet name="Data" sheetId="4" r:id="rId2"/>
    <sheet name="Tables" sheetId="3" r:id="rId3"/>
    <sheet name="Data Set" sheetId="1" r:id="rId4"/>
    <sheet name="Display" sheetId="2" r:id="rId5"/>
  </sheets>
  <definedNames>
    <definedName name="_xlnm.Print_Area" localSheetId="3">'Data Set'!$A$1:$V$34</definedName>
    <definedName name="_xlnm.Print_Area" localSheetId="4">Display!$A$1:$H$28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79" i="3" l="1"/>
  <c r="AG79" i="3"/>
  <c r="AH78" i="3"/>
  <c r="AG78" i="3"/>
  <c r="AH77" i="3"/>
  <c r="AG77" i="3"/>
  <c r="AH76" i="3"/>
  <c r="AG76" i="3"/>
  <c r="AH75" i="3"/>
  <c r="AG75" i="3"/>
  <c r="AH74" i="3"/>
  <c r="AG74" i="3"/>
  <c r="AH73" i="3"/>
  <c r="AG73" i="3"/>
  <c r="AH72" i="3"/>
  <c r="AG72" i="3"/>
  <c r="AH71" i="3"/>
  <c r="AG71" i="3"/>
  <c r="AH70" i="3"/>
  <c r="AG70" i="3"/>
  <c r="AH69" i="3"/>
  <c r="AG69" i="3"/>
  <c r="AH68" i="3"/>
  <c r="AG68" i="3"/>
  <c r="AH67" i="3"/>
  <c r="AG67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60" i="3"/>
  <c r="AG60" i="3"/>
  <c r="AH59" i="3"/>
  <c r="AG59" i="3"/>
  <c r="AH58" i="3"/>
  <c r="AG58" i="3"/>
  <c r="AH57" i="3"/>
  <c r="AG57" i="3"/>
  <c r="AH56" i="3"/>
  <c r="AG56" i="3"/>
  <c r="AH52" i="3"/>
  <c r="AH51" i="3"/>
  <c r="AH48" i="3"/>
  <c r="AH47" i="3"/>
  <c r="AH46" i="3"/>
  <c r="AH45" i="3"/>
  <c r="AH44" i="3"/>
  <c r="AH42" i="3"/>
  <c r="AH41" i="3"/>
  <c r="AH40" i="3"/>
  <c r="AH39" i="3"/>
  <c r="AH38" i="3"/>
  <c r="AH37" i="3"/>
  <c r="AH36" i="3"/>
  <c r="AH34" i="3"/>
  <c r="AH33" i="3"/>
  <c r="AH32" i="3"/>
  <c r="AH31" i="3"/>
  <c r="AH30" i="3"/>
  <c r="AH29" i="3"/>
  <c r="AH35" i="3" l="1"/>
  <c r="AH43" i="3"/>
  <c r="AH50" i="3"/>
  <c r="AH49" i="3"/>
  <c r="AJ25" i="3" l="1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5" i="3"/>
  <c r="AJ4" i="3"/>
  <c r="AJ3" i="3"/>
  <c r="AJ2" i="3"/>
  <c r="AB25" i="3"/>
  <c r="AH25" i="3" s="1"/>
  <c r="AB24" i="3"/>
  <c r="AF24" i="3" s="1"/>
  <c r="AB23" i="3"/>
  <c r="AD23" i="3" s="1"/>
  <c r="AB22" i="3"/>
  <c r="AH22" i="3" s="1"/>
  <c r="AB21" i="3"/>
  <c r="AH21" i="3" s="1"/>
  <c r="AB20" i="3"/>
  <c r="AF20" i="3" s="1"/>
  <c r="AB19" i="3"/>
  <c r="AD19" i="3" s="1"/>
  <c r="AB18" i="3"/>
  <c r="AH18" i="3" s="1"/>
  <c r="AB17" i="3"/>
  <c r="AH17" i="3" s="1"/>
  <c r="AB16" i="3"/>
  <c r="AF16" i="3" s="1"/>
  <c r="AB15" i="3"/>
  <c r="AD15" i="3" s="1"/>
  <c r="AB14" i="3"/>
  <c r="AH14" i="3" s="1"/>
  <c r="AB13" i="3"/>
  <c r="AH13" i="3" s="1"/>
  <c r="AB12" i="3"/>
  <c r="AF12" i="3" s="1"/>
  <c r="AB11" i="3"/>
  <c r="AD11" i="3" s="1"/>
  <c r="AB10" i="3"/>
  <c r="AH10" i="3" s="1"/>
  <c r="AB9" i="3"/>
  <c r="AH9" i="3" s="1"/>
  <c r="AB8" i="3"/>
  <c r="AF8" i="3" s="1"/>
  <c r="AB7" i="3"/>
  <c r="AD7" i="3" s="1"/>
  <c r="AB6" i="3"/>
  <c r="AH6" i="3" s="1"/>
  <c r="AB5" i="3"/>
  <c r="AH5" i="3" s="1"/>
  <c r="AB4" i="3"/>
  <c r="AF4" i="3" s="1"/>
  <c r="AB3" i="3"/>
  <c r="AD3" i="3" s="1"/>
  <c r="AB2" i="3"/>
  <c r="AH2" i="3" s="1"/>
  <c r="U25" i="3"/>
  <c r="Z25" i="3" s="1"/>
  <c r="U24" i="3"/>
  <c r="Y24" i="3" s="1"/>
  <c r="U23" i="3"/>
  <c r="V23" i="3" s="1"/>
  <c r="U22" i="3"/>
  <c r="Y22" i="3" s="1"/>
  <c r="U21" i="3"/>
  <c r="X21" i="3" s="1"/>
  <c r="U20" i="3"/>
  <c r="Z20" i="3" s="1"/>
  <c r="U19" i="3"/>
  <c r="Z19" i="3" s="1"/>
  <c r="U18" i="3"/>
  <c r="W18" i="3" s="1"/>
  <c r="U17" i="3"/>
  <c r="Z17" i="3" s="1"/>
  <c r="U16" i="3"/>
  <c r="Y16" i="3" s="1"/>
  <c r="U15" i="3"/>
  <c r="V15" i="3" s="1"/>
  <c r="U14" i="3"/>
  <c r="Y14" i="3" s="1"/>
  <c r="U13" i="3"/>
  <c r="X13" i="3" s="1"/>
  <c r="U12" i="3"/>
  <c r="Z12" i="3" s="1"/>
  <c r="U11" i="3"/>
  <c r="Z11" i="3" s="1"/>
  <c r="U10" i="3"/>
  <c r="W10" i="3" s="1"/>
  <c r="U9" i="3"/>
  <c r="Z9" i="3" s="1"/>
  <c r="U8" i="3"/>
  <c r="Y8" i="3" s="1"/>
  <c r="U7" i="3"/>
  <c r="V7" i="3" s="1"/>
  <c r="U6" i="3"/>
  <c r="Y6" i="3" s="1"/>
  <c r="U5" i="3"/>
  <c r="X5" i="3" s="1"/>
  <c r="U4" i="3"/>
  <c r="Z4" i="3" s="1"/>
  <c r="U3" i="3"/>
  <c r="Z3" i="3" s="1"/>
  <c r="U2" i="3"/>
  <c r="Z2" i="3" s="1"/>
  <c r="P25" i="3"/>
  <c r="Q25" i="3" s="1"/>
  <c r="P24" i="3"/>
  <c r="S24" i="3" s="1"/>
  <c r="P23" i="3"/>
  <c r="S23" i="3" s="1"/>
  <c r="P22" i="3"/>
  <c r="Q22" i="3" s="1"/>
  <c r="P21" i="3"/>
  <c r="S21" i="3" s="1"/>
  <c r="P20" i="3"/>
  <c r="S20" i="3" s="1"/>
  <c r="P19" i="3"/>
  <c r="R19" i="3" s="1"/>
  <c r="P18" i="3"/>
  <c r="S18" i="3" s="1"/>
  <c r="P17" i="3"/>
  <c r="Q17" i="3" s="1"/>
  <c r="P16" i="3"/>
  <c r="S16" i="3" s="1"/>
  <c r="P15" i="3"/>
  <c r="S15" i="3" s="1"/>
  <c r="P14" i="3"/>
  <c r="Q14" i="3" s="1"/>
  <c r="P13" i="3"/>
  <c r="S13" i="3" s="1"/>
  <c r="P12" i="3"/>
  <c r="S12" i="3" s="1"/>
  <c r="P11" i="3"/>
  <c r="R11" i="3" s="1"/>
  <c r="P10" i="3"/>
  <c r="S10" i="3" s="1"/>
  <c r="P9" i="3"/>
  <c r="Q9" i="3" s="1"/>
  <c r="P8" i="3"/>
  <c r="S8" i="3" s="1"/>
  <c r="P7" i="3"/>
  <c r="S7" i="3" s="1"/>
  <c r="P6" i="3"/>
  <c r="Q6" i="3" s="1"/>
  <c r="P5" i="3"/>
  <c r="R5" i="3" s="1"/>
  <c r="P4" i="3"/>
  <c r="R4" i="3" s="1"/>
  <c r="P3" i="3"/>
  <c r="R3" i="3" s="1"/>
  <c r="P2" i="3"/>
  <c r="Q2" i="3" s="1"/>
  <c r="H25" i="3"/>
  <c r="K25" i="3" s="1"/>
  <c r="H24" i="3"/>
  <c r="I24" i="3" s="1"/>
  <c r="H23" i="3"/>
  <c r="I23" i="3" s="1"/>
  <c r="H22" i="3"/>
  <c r="M22" i="3" s="1"/>
  <c r="H21" i="3"/>
  <c r="K21" i="3" s="1"/>
  <c r="H20" i="3"/>
  <c r="I20" i="3" s="1"/>
  <c r="H19" i="3"/>
  <c r="J19" i="3" s="1"/>
  <c r="H18" i="3"/>
  <c r="M18" i="3" s="1"/>
  <c r="H17" i="3"/>
  <c r="K17" i="3" s="1"/>
  <c r="H16" i="3"/>
  <c r="I16" i="3" s="1"/>
  <c r="H15" i="3"/>
  <c r="I15" i="3" s="1"/>
  <c r="H14" i="3"/>
  <c r="M14" i="3" s="1"/>
  <c r="H13" i="3"/>
  <c r="K13" i="3" s="1"/>
  <c r="H12" i="3"/>
  <c r="I12" i="3" s="1"/>
  <c r="H11" i="3"/>
  <c r="J11" i="3" s="1"/>
  <c r="H10" i="3"/>
  <c r="M10" i="3" s="1"/>
  <c r="H9" i="3"/>
  <c r="K9" i="3" s="1"/>
  <c r="H8" i="3"/>
  <c r="I8" i="3" s="1"/>
  <c r="H7" i="3"/>
  <c r="I7" i="3" s="1"/>
  <c r="H6" i="3"/>
  <c r="M6" i="3" s="1"/>
  <c r="H5" i="3"/>
  <c r="K5" i="3" s="1"/>
  <c r="H4" i="3"/>
  <c r="I4" i="3" s="1"/>
  <c r="H3" i="3"/>
  <c r="J3" i="3" s="1"/>
  <c r="H2" i="3"/>
  <c r="J2" i="3" s="1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F39" i="3" l="1"/>
  <c r="AN12" i="3"/>
  <c r="AF47" i="3"/>
  <c r="AN20" i="3"/>
  <c r="AD34" i="3"/>
  <c r="AL7" i="3"/>
  <c r="AD42" i="3"/>
  <c r="AL15" i="3"/>
  <c r="AD50" i="3"/>
  <c r="AL23" i="3"/>
  <c r="AF35" i="3"/>
  <c r="AN8" i="3"/>
  <c r="AF43" i="3"/>
  <c r="AN16" i="3"/>
  <c r="AF51" i="3"/>
  <c r="AN24" i="3"/>
  <c r="AF31" i="3"/>
  <c r="AN4" i="3"/>
  <c r="AD30" i="3"/>
  <c r="AL3" i="3"/>
  <c r="AD38" i="3"/>
  <c r="AL11" i="3"/>
  <c r="AD46" i="3"/>
  <c r="AL19" i="3"/>
  <c r="B29" i="3"/>
  <c r="Z29" i="3"/>
  <c r="B38" i="3"/>
  <c r="B35" i="3"/>
  <c r="B47" i="3"/>
  <c r="B32" i="3"/>
  <c r="B41" i="3"/>
  <c r="B50" i="3"/>
  <c r="B44" i="3"/>
  <c r="K8" i="3"/>
  <c r="M3" i="3"/>
  <c r="S4" i="3"/>
  <c r="Q19" i="3"/>
  <c r="M24" i="3"/>
  <c r="S25" i="3"/>
  <c r="J18" i="3"/>
  <c r="Y7" i="3"/>
  <c r="K20" i="3"/>
  <c r="K11" i="3"/>
  <c r="Z13" i="3"/>
  <c r="Z38" i="3" s="1"/>
  <c r="Z18" i="3"/>
  <c r="Z44" i="3" s="1"/>
  <c r="Y23" i="3"/>
  <c r="AD6" i="3"/>
  <c r="N24" i="3"/>
  <c r="Q12" i="3"/>
  <c r="AF11" i="3"/>
  <c r="AE18" i="3"/>
  <c r="K24" i="3"/>
  <c r="J20" i="3"/>
  <c r="L17" i="3"/>
  <c r="K14" i="3"/>
  <c r="I11" i="3"/>
  <c r="J8" i="3"/>
  <c r="L3" i="3"/>
  <c r="S6" i="3"/>
  <c r="R12" i="3"/>
  <c r="Q20" i="3"/>
  <c r="Y3" i="3"/>
  <c r="V9" i="3"/>
  <c r="V14" i="3"/>
  <c r="Y19" i="3"/>
  <c r="V25" i="3"/>
  <c r="C16" i="2" s="1"/>
  <c r="AE6" i="3"/>
  <c r="AG11" i="3"/>
  <c r="AF19" i="3"/>
  <c r="J24" i="3"/>
  <c r="N19" i="3"/>
  <c r="I17" i="3"/>
  <c r="N12" i="3"/>
  <c r="K10" i="3"/>
  <c r="M7" i="3"/>
  <c r="K3" i="3"/>
  <c r="Q7" i="3"/>
  <c r="R20" i="3"/>
  <c r="W4" i="3"/>
  <c r="V10" i="3"/>
  <c r="Z14" i="3"/>
  <c r="W20" i="3"/>
  <c r="AC3" i="3"/>
  <c r="AC7" i="3"/>
  <c r="AH12" i="3"/>
  <c r="AG19" i="3"/>
  <c r="L2" i="3"/>
  <c r="M23" i="3"/>
  <c r="M19" i="3"/>
  <c r="N16" i="3"/>
  <c r="M12" i="3"/>
  <c r="J10" i="3"/>
  <c r="L7" i="3"/>
  <c r="I3" i="3"/>
  <c r="Q8" i="3"/>
  <c r="S14" i="3"/>
  <c r="X4" i="3"/>
  <c r="Y10" i="3"/>
  <c r="X15" i="3"/>
  <c r="X20" i="3"/>
  <c r="AF3" i="3"/>
  <c r="AF7" i="3"/>
  <c r="AD14" i="3"/>
  <c r="AH20" i="3"/>
  <c r="M2" i="3"/>
  <c r="L23" i="3"/>
  <c r="L19" i="3"/>
  <c r="M16" i="3"/>
  <c r="J12" i="3"/>
  <c r="L9" i="3"/>
  <c r="K6" i="3"/>
  <c r="Q3" i="3"/>
  <c r="R8" i="3"/>
  <c r="Q15" i="3"/>
  <c r="S22" i="3"/>
  <c r="Z5" i="3"/>
  <c r="Z10" i="3"/>
  <c r="Y15" i="3"/>
  <c r="Y41" i="3" s="1"/>
  <c r="Z21" i="3"/>
  <c r="AG3" i="3"/>
  <c r="AG7" i="3"/>
  <c r="AE14" i="3"/>
  <c r="AD22" i="3"/>
  <c r="L25" i="3"/>
  <c r="K22" i="3"/>
  <c r="K19" i="3"/>
  <c r="K16" i="3"/>
  <c r="N11" i="3"/>
  <c r="I9" i="3"/>
  <c r="N4" i="3"/>
  <c r="S3" i="3"/>
  <c r="R9" i="3"/>
  <c r="R16" i="3"/>
  <c r="Q23" i="3"/>
  <c r="V6" i="3"/>
  <c r="Y11" i="3"/>
  <c r="V17" i="3"/>
  <c r="V22" i="3"/>
  <c r="AE4" i="3"/>
  <c r="AD10" i="3"/>
  <c r="AF15" i="3"/>
  <c r="AE22" i="3"/>
  <c r="L15" i="3"/>
  <c r="I25" i="3"/>
  <c r="I50" i="3" s="1"/>
  <c r="N20" i="3"/>
  <c r="I19" i="3"/>
  <c r="J16" i="3"/>
  <c r="M11" i="3"/>
  <c r="N8" i="3"/>
  <c r="J4" i="3"/>
  <c r="J29" i="3" s="1"/>
  <c r="Q4" i="3"/>
  <c r="S9" i="3"/>
  <c r="R17" i="3"/>
  <c r="R24" i="3"/>
  <c r="Z6" i="3"/>
  <c r="W12" i="3"/>
  <c r="V18" i="3"/>
  <c r="Z22" i="3"/>
  <c r="AH4" i="3"/>
  <c r="AE10" i="3"/>
  <c r="AG15" i="3"/>
  <c r="AF23" i="3"/>
  <c r="M20" i="3"/>
  <c r="K18" i="3"/>
  <c r="M15" i="3"/>
  <c r="L11" i="3"/>
  <c r="M8" i="3"/>
  <c r="N3" i="3"/>
  <c r="Q11" i="3"/>
  <c r="S17" i="3"/>
  <c r="R25" i="3"/>
  <c r="X7" i="3"/>
  <c r="X12" i="3"/>
  <c r="Y18" i="3"/>
  <c r="X23" i="3"/>
  <c r="AC5" i="3"/>
  <c r="AC11" i="3"/>
  <c r="AD18" i="3"/>
  <c r="AG23" i="3"/>
  <c r="I21" i="3"/>
  <c r="J14" i="3"/>
  <c r="N14" i="3"/>
  <c r="S5" i="3"/>
  <c r="K2" i="3"/>
  <c r="J25" i="3"/>
  <c r="N23" i="3"/>
  <c r="L22" i="3"/>
  <c r="J21" i="3"/>
  <c r="L18" i="3"/>
  <c r="J17" i="3"/>
  <c r="N15" i="3"/>
  <c r="L14" i="3"/>
  <c r="J13" i="3"/>
  <c r="L10" i="3"/>
  <c r="J9" i="3"/>
  <c r="N7" i="3"/>
  <c r="L6" i="3"/>
  <c r="J5" i="3"/>
  <c r="R6" i="3"/>
  <c r="S11" i="3"/>
  <c r="R14" i="3"/>
  <c r="S19" i="3"/>
  <c r="R22" i="3"/>
  <c r="V4" i="3"/>
  <c r="Y5" i="3"/>
  <c r="W7" i="3"/>
  <c r="Z8" i="3"/>
  <c r="X10" i="3"/>
  <c r="E18" i="2" s="1"/>
  <c r="V12" i="3"/>
  <c r="Y13" i="3"/>
  <c r="W15" i="3"/>
  <c r="Z16" i="3"/>
  <c r="X18" i="3"/>
  <c r="V20" i="3"/>
  <c r="Y21" i="3"/>
  <c r="W23" i="3"/>
  <c r="Z24" i="3"/>
  <c r="AE3" i="3"/>
  <c r="AG4" i="3"/>
  <c r="AC6" i="3"/>
  <c r="AE7" i="3"/>
  <c r="AG8" i="3"/>
  <c r="AC10" i="3"/>
  <c r="AE11" i="3"/>
  <c r="AG12" i="3"/>
  <c r="AC14" i="3"/>
  <c r="AE15" i="3"/>
  <c r="AG16" i="3"/>
  <c r="AC18" i="3"/>
  <c r="AE19" i="3"/>
  <c r="AG20" i="3"/>
  <c r="AC22" i="3"/>
  <c r="AE23" i="3"/>
  <c r="AG24" i="3"/>
  <c r="W25" i="3"/>
  <c r="AC9" i="3"/>
  <c r="AC13" i="3"/>
  <c r="AC17" i="3"/>
  <c r="AC21" i="3"/>
  <c r="AC25" i="3"/>
  <c r="I5" i="3"/>
  <c r="N2" i="3"/>
  <c r="K15" i="3"/>
  <c r="I14" i="3"/>
  <c r="I41" i="3" s="1"/>
  <c r="I10" i="3"/>
  <c r="R7" i="3"/>
  <c r="Q10" i="3"/>
  <c r="R15" i="3"/>
  <c r="R23" i="3"/>
  <c r="V3" i="3"/>
  <c r="Y4" i="3"/>
  <c r="W6" i="3"/>
  <c r="Z7" i="3"/>
  <c r="X9" i="3"/>
  <c r="V11" i="3"/>
  <c r="Y12" i="3"/>
  <c r="W14" i="3"/>
  <c r="Z15" i="3"/>
  <c r="X17" i="3"/>
  <c r="V19" i="3"/>
  <c r="Y20" i="3"/>
  <c r="W22" i="3"/>
  <c r="Z23" i="3"/>
  <c r="X25" i="3"/>
  <c r="AH3" i="3"/>
  <c r="AD5" i="3"/>
  <c r="AF6" i="3"/>
  <c r="AH7" i="3"/>
  <c r="AD9" i="3"/>
  <c r="AF10" i="3"/>
  <c r="AH11" i="3"/>
  <c r="AD13" i="3"/>
  <c r="AF14" i="3"/>
  <c r="AH15" i="3"/>
  <c r="AD17" i="3"/>
  <c r="AF18" i="3"/>
  <c r="AH19" i="3"/>
  <c r="AD21" i="3"/>
  <c r="AF22" i="3"/>
  <c r="AH23" i="3"/>
  <c r="AD25" i="3"/>
  <c r="AH8" i="3"/>
  <c r="J22" i="3"/>
  <c r="K23" i="3"/>
  <c r="K50" i="3" s="1"/>
  <c r="I22" i="3"/>
  <c r="I18" i="3"/>
  <c r="K7" i="3"/>
  <c r="I6" i="3"/>
  <c r="M4" i="3"/>
  <c r="Q18" i="3"/>
  <c r="N25" i="3"/>
  <c r="L24" i="3"/>
  <c r="J23" i="3"/>
  <c r="N21" i="3"/>
  <c r="L20" i="3"/>
  <c r="N17" i="3"/>
  <c r="L16" i="3"/>
  <c r="J15" i="3"/>
  <c r="N13" i="3"/>
  <c r="L12" i="3"/>
  <c r="N9" i="3"/>
  <c r="L8" i="3"/>
  <c r="J7" i="3"/>
  <c r="N5" i="3"/>
  <c r="L4" i="3"/>
  <c r="Q5" i="3"/>
  <c r="R10" i="3"/>
  <c r="Q13" i="3"/>
  <c r="R18" i="3"/>
  <c r="Q21" i="3"/>
  <c r="W3" i="3"/>
  <c r="X6" i="3"/>
  <c r="X32" i="3" s="1"/>
  <c r="V8" i="3"/>
  <c r="Y9" i="3"/>
  <c r="Y35" i="3" s="1"/>
  <c r="W11" i="3"/>
  <c r="X14" i="3"/>
  <c r="V16" i="3"/>
  <c r="Y17" i="3"/>
  <c r="W19" i="3"/>
  <c r="X22" i="3"/>
  <c r="V24" i="3"/>
  <c r="Y25" i="3"/>
  <c r="AC4" i="3"/>
  <c r="AE5" i="3"/>
  <c r="AG6" i="3"/>
  <c r="AC8" i="3"/>
  <c r="AE9" i="3"/>
  <c r="AG10" i="3"/>
  <c r="AC12" i="3"/>
  <c r="AE13" i="3"/>
  <c r="AG14" i="3"/>
  <c r="AC16" i="3"/>
  <c r="AE17" i="3"/>
  <c r="AG18" i="3"/>
  <c r="AC20" i="3"/>
  <c r="AE21" i="3"/>
  <c r="AG22" i="3"/>
  <c r="AC24" i="3"/>
  <c r="AE25" i="3"/>
  <c r="AH16" i="3"/>
  <c r="W9" i="3"/>
  <c r="W17" i="3"/>
  <c r="M25" i="3"/>
  <c r="M21" i="3"/>
  <c r="M17" i="3"/>
  <c r="M44" i="3" s="1"/>
  <c r="P44" i="3" s="1"/>
  <c r="M13" i="3"/>
  <c r="K12" i="3"/>
  <c r="M9" i="3"/>
  <c r="M5" i="3"/>
  <c r="K4" i="3"/>
  <c r="R13" i="3"/>
  <c r="Q16" i="3"/>
  <c r="R21" i="3"/>
  <c r="Q24" i="3"/>
  <c r="X3" i="3"/>
  <c r="V5" i="3"/>
  <c r="W8" i="3"/>
  <c r="W35" i="3" s="1"/>
  <c r="X11" i="3"/>
  <c r="V13" i="3"/>
  <c r="E16" i="2" s="1"/>
  <c r="W16" i="3"/>
  <c r="X19" i="3"/>
  <c r="V21" i="3"/>
  <c r="W24" i="3"/>
  <c r="AD4" i="3"/>
  <c r="AF5" i="3"/>
  <c r="AD8" i="3"/>
  <c r="AF9" i="3"/>
  <c r="AD12" i="3"/>
  <c r="AF13" i="3"/>
  <c r="AD16" i="3"/>
  <c r="AF17" i="3"/>
  <c r="AD20" i="3"/>
  <c r="AF21" i="3"/>
  <c r="AD24" i="3"/>
  <c r="AF25" i="3"/>
  <c r="I13" i="3"/>
  <c r="J6" i="3"/>
  <c r="I2" i="3"/>
  <c r="N18" i="3"/>
  <c r="N10" i="3"/>
  <c r="W5" i="3"/>
  <c r="X16" i="3"/>
  <c r="W21" i="3"/>
  <c r="X24" i="3"/>
  <c r="AG5" i="3"/>
  <c r="AE8" i="3"/>
  <c r="AG9" i="3"/>
  <c r="AE12" i="3"/>
  <c r="AG13" i="3"/>
  <c r="AC15" i="3"/>
  <c r="AE16" i="3"/>
  <c r="AG17" i="3"/>
  <c r="AC19" i="3"/>
  <c r="AE20" i="3"/>
  <c r="AG21" i="3"/>
  <c r="AC23" i="3"/>
  <c r="AE24" i="3"/>
  <c r="AG25" i="3"/>
  <c r="AH24" i="3"/>
  <c r="N22" i="3"/>
  <c r="L21" i="3"/>
  <c r="L13" i="3"/>
  <c r="N6" i="3"/>
  <c r="L5" i="3"/>
  <c r="X8" i="3"/>
  <c r="W13" i="3"/>
  <c r="C23" i="3"/>
  <c r="R2" i="3"/>
  <c r="R29" i="3" s="1"/>
  <c r="R30" i="3" s="1"/>
  <c r="W2" i="3"/>
  <c r="AD2" i="3"/>
  <c r="AC2" i="3"/>
  <c r="S2" i="3"/>
  <c r="X2" i="3"/>
  <c r="AE2" i="3"/>
  <c r="Y2" i="3"/>
  <c r="AF2" i="3"/>
  <c r="V2" i="3"/>
  <c r="AG2" i="3"/>
  <c r="C6" i="3"/>
  <c r="C11" i="3"/>
  <c r="C24" i="3"/>
  <c r="C25" i="3"/>
  <c r="C7" i="3"/>
  <c r="C13" i="3"/>
  <c r="C20" i="3"/>
  <c r="C2" i="3"/>
  <c r="C8" i="3"/>
  <c r="C14" i="3"/>
  <c r="C5" i="3"/>
  <c r="C18" i="3"/>
  <c r="C19" i="3"/>
  <c r="F2" i="3"/>
  <c r="C9" i="3"/>
  <c r="C15" i="3"/>
  <c r="C21" i="3"/>
  <c r="C3" i="3"/>
  <c r="C16" i="3"/>
  <c r="C22" i="3"/>
  <c r="C12" i="3"/>
  <c r="C4" i="3"/>
  <c r="C10" i="3"/>
  <c r="C17" i="3"/>
  <c r="D16" i="2" l="1"/>
  <c r="Z39" i="3"/>
  <c r="L35" i="3"/>
  <c r="AG44" i="3"/>
  <c r="AO17" i="3"/>
  <c r="AG30" i="3"/>
  <c r="AO3" i="3"/>
  <c r="AE43" i="3"/>
  <c r="AM16" i="3"/>
  <c r="AF52" i="3"/>
  <c r="AN25" i="3"/>
  <c r="AF36" i="3"/>
  <c r="AN9" i="3"/>
  <c r="AC47" i="3"/>
  <c r="AF74" i="3" s="1"/>
  <c r="AK20" i="3"/>
  <c r="AE36" i="3"/>
  <c r="AM9" i="3"/>
  <c r="AF49" i="3"/>
  <c r="AN22" i="3"/>
  <c r="AC48" i="3"/>
  <c r="AC75" i="3" s="1"/>
  <c r="AK21" i="3"/>
  <c r="AG47" i="3"/>
  <c r="AO20" i="3"/>
  <c r="AC37" i="3"/>
  <c r="AC64" i="3" s="1"/>
  <c r="AK10" i="3"/>
  <c r="AD41" i="3"/>
  <c r="AL14" i="3"/>
  <c r="AD33" i="3"/>
  <c r="AL6" i="3"/>
  <c r="AE48" i="3"/>
  <c r="AM21" i="3"/>
  <c r="AC52" i="3"/>
  <c r="AC79" i="3" s="1"/>
  <c r="AK25" i="3"/>
  <c r="AE29" i="3"/>
  <c r="AM2" i="3"/>
  <c r="AG52" i="3"/>
  <c r="AO25" i="3"/>
  <c r="AC42" i="3"/>
  <c r="AC69" i="3" s="1"/>
  <c r="AK15" i="3"/>
  <c r="AD51" i="3"/>
  <c r="AL24" i="3"/>
  <c r="AD35" i="3"/>
  <c r="AL8" i="3"/>
  <c r="AG45" i="3"/>
  <c r="AO18" i="3"/>
  <c r="AC35" i="3"/>
  <c r="AF62" i="3" s="1"/>
  <c r="AK8" i="3"/>
  <c r="AD48" i="3"/>
  <c r="AL21" i="3"/>
  <c r="AF37" i="3"/>
  <c r="AN10" i="3"/>
  <c r="AC44" i="3"/>
  <c r="AC71" i="3" s="1"/>
  <c r="AK17" i="3"/>
  <c r="AE46" i="3"/>
  <c r="AM19" i="3"/>
  <c r="AG35" i="3"/>
  <c r="AO8" i="3"/>
  <c r="AE49" i="3"/>
  <c r="AM22" i="3"/>
  <c r="AF34" i="3"/>
  <c r="AN7" i="3"/>
  <c r="AG46" i="3"/>
  <c r="AO19" i="3"/>
  <c r="AE51" i="3"/>
  <c r="AM24" i="3"/>
  <c r="AG40" i="3"/>
  <c r="AO13" i="3"/>
  <c r="AF48" i="3"/>
  <c r="AN21" i="3"/>
  <c r="AF32" i="3"/>
  <c r="AN5" i="3"/>
  <c r="AE44" i="3"/>
  <c r="AM17" i="3"/>
  <c r="AG33" i="3"/>
  <c r="AO6" i="3"/>
  <c r="AD36" i="3"/>
  <c r="AL9" i="3"/>
  <c r="AC40" i="3"/>
  <c r="AC67" i="3" s="1"/>
  <c r="AK13" i="3"/>
  <c r="AC45" i="3"/>
  <c r="AC72" i="3" s="1"/>
  <c r="AK18" i="3"/>
  <c r="AE34" i="3"/>
  <c r="AM7" i="3"/>
  <c r="AF42" i="3"/>
  <c r="AN15" i="3"/>
  <c r="AF30" i="3"/>
  <c r="AN3" i="3"/>
  <c r="AF46" i="3"/>
  <c r="AN19" i="3"/>
  <c r="AF29" i="3"/>
  <c r="AN2" i="3"/>
  <c r="AD39" i="3"/>
  <c r="AL12" i="3"/>
  <c r="AE38" i="3"/>
  <c r="AM11" i="3"/>
  <c r="AC32" i="3"/>
  <c r="AK5" i="3"/>
  <c r="AC50" i="3"/>
  <c r="AK23" i="3"/>
  <c r="AC43" i="3"/>
  <c r="AC70" i="3" s="1"/>
  <c r="AK16" i="3"/>
  <c r="AF45" i="3"/>
  <c r="AN18" i="3"/>
  <c r="AC36" i="3"/>
  <c r="AC63" i="3" s="1"/>
  <c r="AK9" i="3"/>
  <c r="AG43" i="3"/>
  <c r="AO16" i="3"/>
  <c r="AC33" i="3"/>
  <c r="AC60" i="3" s="1"/>
  <c r="AK6" i="3"/>
  <c r="AD37" i="3"/>
  <c r="AL10" i="3"/>
  <c r="AC34" i="3"/>
  <c r="AC61" i="3" s="1"/>
  <c r="AK7" i="3"/>
  <c r="AG38" i="3"/>
  <c r="AO11" i="3"/>
  <c r="AG37" i="3"/>
  <c r="AO10" i="3"/>
  <c r="AC49" i="3"/>
  <c r="AC76" i="3" s="1"/>
  <c r="AK22" i="3"/>
  <c r="AE39" i="3"/>
  <c r="AM12" i="3"/>
  <c r="AD31" i="3"/>
  <c r="AL4" i="3"/>
  <c r="AE32" i="3"/>
  <c r="AM5" i="3"/>
  <c r="AC29" i="3"/>
  <c r="AC56" i="3" s="1"/>
  <c r="AK2" i="3"/>
  <c r="AG48" i="3"/>
  <c r="AO21" i="3"/>
  <c r="AG36" i="3"/>
  <c r="AO9" i="3"/>
  <c r="AF44" i="3"/>
  <c r="AF71" i="3" s="1"/>
  <c r="AN17" i="3"/>
  <c r="AE52" i="3"/>
  <c r="AM25" i="3"/>
  <c r="AG41" i="3"/>
  <c r="AO14" i="3"/>
  <c r="AC31" i="3"/>
  <c r="AC58" i="3" s="1"/>
  <c r="AK4" i="3"/>
  <c r="AD44" i="3"/>
  <c r="AL17" i="3"/>
  <c r="AF33" i="3"/>
  <c r="AN6" i="3"/>
  <c r="AE42" i="3"/>
  <c r="AM15" i="3"/>
  <c r="AG31" i="3"/>
  <c r="AO4" i="3"/>
  <c r="AG50" i="3"/>
  <c r="AO23" i="3"/>
  <c r="AE31" i="3"/>
  <c r="AM4" i="3"/>
  <c r="AD49" i="3"/>
  <c r="AL22" i="3"/>
  <c r="AC30" i="3"/>
  <c r="AC57" i="3" s="1"/>
  <c r="AK3" i="3"/>
  <c r="AE33" i="3"/>
  <c r="AM6" i="3"/>
  <c r="AE45" i="3"/>
  <c r="AM18" i="3"/>
  <c r="AD40" i="3"/>
  <c r="AL13" i="3"/>
  <c r="AE37" i="3"/>
  <c r="AM10" i="3"/>
  <c r="AD47" i="3"/>
  <c r="AL20" i="3"/>
  <c r="AG29" i="3"/>
  <c r="AO2" i="3"/>
  <c r="AD29" i="3"/>
  <c r="AL2" i="3"/>
  <c r="AE47" i="3"/>
  <c r="AM20" i="3"/>
  <c r="AE35" i="3"/>
  <c r="AM8" i="3"/>
  <c r="AD43" i="3"/>
  <c r="AL16" i="3"/>
  <c r="AC51" i="3"/>
  <c r="AC78" i="3" s="1"/>
  <c r="AK24" i="3"/>
  <c r="AE40" i="3"/>
  <c r="AM13" i="3"/>
  <c r="AD32" i="3"/>
  <c r="AL61" i="3" s="1"/>
  <c r="AL5" i="3"/>
  <c r="AL32" i="3" s="1"/>
  <c r="AG51" i="3"/>
  <c r="AO24" i="3"/>
  <c r="AC41" i="3"/>
  <c r="AK14" i="3"/>
  <c r="AE30" i="3"/>
  <c r="AE57" i="3" s="1"/>
  <c r="AM3" i="3"/>
  <c r="AD45" i="3"/>
  <c r="AL18" i="3"/>
  <c r="AL44" i="3" s="1"/>
  <c r="AF50" i="3"/>
  <c r="AN23" i="3"/>
  <c r="AE41" i="3"/>
  <c r="AM70" i="3" s="1"/>
  <c r="AM14" i="3"/>
  <c r="AF38" i="3"/>
  <c r="AN11" i="3"/>
  <c r="AC46" i="3"/>
  <c r="AC73" i="3" s="1"/>
  <c r="AK19" i="3"/>
  <c r="AG32" i="3"/>
  <c r="AO5" i="3"/>
  <c r="AF40" i="3"/>
  <c r="AN13" i="3"/>
  <c r="AG49" i="3"/>
  <c r="AO22" i="3"/>
  <c r="AC39" i="3"/>
  <c r="AC66" i="3" s="1"/>
  <c r="AK12" i="3"/>
  <c r="AD52" i="3"/>
  <c r="AL25" i="3"/>
  <c r="AF41" i="3"/>
  <c r="AN14" i="3"/>
  <c r="AE50" i="3"/>
  <c r="AM23" i="3"/>
  <c r="AG39" i="3"/>
  <c r="AO12" i="3"/>
  <c r="AC38" i="3"/>
  <c r="AD65" i="3" s="1"/>
  <c r="AK11" i="3"/>
  <c r="AG42" i="3"/>
  <c r="AO15" i="3"/>
  <c r="AG34" i="3"/>
  <c r="AO7" i="3"/>
  <c r="Y42" i="3"/>
  <c r="W36" i="3"/>
  <c r="M32" i="3"/>
  <c r="P32" i="3" s="1"/>
  <c r="M41" i="3"/>
  <c r="P41" i="3" s="1"/>
  <c r="Y36" i="3"/>
  <c r="Z30" i="3"/>
  <c r="I29" i="3"/>
  <c r="X33" i="3"/>
  <c r="L32" i="3"/>
  <c r="Q32" i="3"/>
  <c r="Q33" i="3" s="1"/>
  <c r="Q44" i="3"/>
  <c r="Q45" i="3" s="1"/>
  <c r="Y29" i="3"/>
  <c r="Y30" i="3" s="1"/>
  <c r="Z35" i="3"/>
  <c r="Z36" i="3" s="1"/>
  <c r="X38" i="3"/>
  <c r="X39" i="3" s="1"/>
  <c r="R32" i="3"/>
  <c r="R33" i="3" s="1"/>
  <c r="M35" i="3"/>
  <c r="P35" i="3" s="1"/>
  <c r="Z47" i="3"/>
  <c r="Z48" i="3" s="1"/>
  <c r="L47" i="3"/>
  <c r="L29" i="3"/>
  <c r="Y44" i="3"/>
  <c r="Y45" i="3" s="1"/>
  <c r="Z50" i="3"/>
  <c r="Z51" i="3" s="1"/>
  <c r="X29" i="3"/>
  <c r="X30" i="3" s="1"/>
  <c r="J50" i="3"/>
  <c r="I35" i="3"/>
  <c r="Y32" i="3"/>
  <c r="Y33" i="3" s="1"/>
  <c r="Z45" i="3"/>
  <c r="X50" i="3"/>
  <c r="X51" i="3" s="1"/>
  <c r="K32" i="3"/>
  <c r="J44" i="3"/>
  <c r="W32" i="3"/>
  <c r="W33" i="3" s="1"/>
  <c r="Q29" i="3"/>
  <c r="Q30" i="3" s="1"/>
  <c r="I47" i="3"/>
  <c r="K44" i="3"/>
  <c r="R38" i="3"/>
  <c r="R39" i="3" s="1"/>
  <c r="X35" i="3"/>
  <c r="X36" i="3" s="1"/>
  <c r="N29" i="3"/>
  <c r="V29" i="3"/>
  <c r="V30" i="3" s="1"/>
  <c r="R50" i="3"/>
  <c r="R51" i="3" s="1"/>
  <c r="Q35" i="3"/>
  <c r="Q36" i="3" s="1"/>
  <c r="W44" i="3"/>
  <c r="W45" i="3" s="1"/>
  <c r="V47" i="3"/>
  <c r="V48" i="3" s="1"/>
  <c r="J32" i="3"/>
  <c r="N41" i="3"/>
  <c r="L38" i="3"/>
  <c r="Q50" i="3"/>
  <c r="Q51" i="3" s="1"/>
  <c r="R47" i="3"/>
  <c r="R48" i="3" s="1"/>
  <c r="L44" i="3"/>
  <c r="Y50" i="3"/>
  <c r="Y51" i="3" s="1"/>
  <c r="V50" i="3"/>
  <c r="V51" i="3" s="1"/>
  <c r="K41" i="3"/>
  <c r="Y47" i="3"/>
  <c r="Y48" i="3" s="1"/>
  <c r="J41" i="3"/>
  <c r="N35" i="3"/>
  <c r="J38" i="3"/>
  <c r="Q47" i="3"/>
  <c r="Q48" i="3" s="1"/>
  <c r="J47" i="3"/>
  <c r="V32" i="3"/>
  <c r="V33" i="3" s="1"/>
  <c r="X41" i="3"/>
  <c r="X42" i="3" s="1"/>
  <c r="M38" i="3"/>
  <c r="P38" i="3" s="1"/>
  <c r="Z32" i="3"/>
  <c r="Z33" i="3" s="1"/>
  <c r="X47" i="3"/>
  <c r="X48" i="3" s="1"/>
  <c r="W38" i="3"/>
  <c r="W39" i="3" s="1"/>
  <c r="X44" i="3"/>
  <c r="X45" i="3" s="1"/>
  <c r="M47" i="3"/>
  <c r="P47" i="3" s="1"/>
  <c r="K38" i="3"/>
  <c r="N50" i="3"/>
  <c r="Q41" i="3"/>
  <c r="Q42" i="3" s="1"/>
  <c r="L50" i="3"/>
  <c r="W47" i="3"/>
  <c r="W48" i="3" s="1"/>
  <c r="K47" i="3"/>
  <c r="K35" i="3"/>
  <c r="V38" i="3"/>
  <c r="V39" i="3" s="1"/>
  <c r="W29" i="3"/>
  <c r="W30" i="3" s="1"/>
  <c r="V35" i="3"/>
  <c r="V36" i="3" s="1"/>
  <c r="W41" i="3"/>
  <c r="W42" i="3" s="1"/>
  <c r="I32" i="3"/>
  <c r="R41" i="3"/>
  <c r="R42" i="3" s="1"/>
  <c r="Q38" i="3"/>
  <c r="Q39" i="3" s="1"/>
  <c r="R44" i="3"/>
  <c r="R45" i="3" s="1"/>
  <c r="N47" i="3"/>
  <c r="V44" i="3"/>
  <c r="V45" i="3" s="1"/>
  <c r="R35" i="3"/>
  <c r="R36" i="3" s="1"/>
  <c r="M29" i="3"/>
  <c r="P29" i="3" s="1"/>
  <c r="Z41" i="3"/>
  <c r="Z42" i="3" s="1"/>
  <c r="J35" i="3"/>
  <c r="N32" i="3"/>
  <c r="N44" i="3"/>
  <c r="W50" i="3"/>
  <c r="W51" i="3" s="1"/>
  <c r="L41" i="3"/>
  <c r="K29" i="3"/>
  <c r="Y38" i="3"/>
  <c r="Y39" i="3" s="1"/>
  <c r="N38" i="3"/>
  <c r="M50" i="3"/>
  <c r="P50" i="3" s="1"/>
  <c r="I44" i="3"/>
  <c r="V41" i="3"/>
  <c r="V42" i="3" s="1"/>
  <c r="I38" i="3"/>
  <c r="G18" i="2"/>
  <c r="D18" i="2"/>
  <c r="F18" i="2"/>
  <c r="C18" i="2"/>
  <c r="D4" i="3"/>
  <c r="D18" i="3"/>
  <c r="E12" i="3"/>
  <c r="D7" i="3"/>
  <c r="D5" i="3"/>
  <c r="E21" i="3"/>
  <c r="D13" i="3"/>
  <c r="D22" i="3"/>
  <c r="E7" i="3"/>
  <c r="D20" i="3"/>
  <c r="D14" i="3"/>
  <c r="E2" i="3"/>
  <c r="E19" i="3"/>
  <c r="D21" i="3"/>
  <c r="E20" i="3"/>
  <c r="E16" i="3"/>
  <c r="E24" i="3"/>
  <c r="D6" i="3"/>
  <c r="D23" i="3"/>
  <c r="D8" i="3"/>
  <c r="D25" i="3"/>
  <c r="E25" i="3"/>
  <c r="D15" i="3"/>
  <c r="D19" i="3"/>
  <c r="E3" i="3"/>
  <c r="E14" i="3"/>
  <c r="E11" i="3"/>
  <c r="D12" i="3"/>
  <c r="E22" i="3"/>
  <c r="D11" i="3"/>
  <c r="E4" i="3"/>
  <c r="E8" i="3"/>
  <c r="E23" i="3"/>
  <c r="D24" i="3"/>
  <c r="E10" i="3"/>
  <c r="D9" i="3"/>
  <c r="E9" i="3"/>
  <c r="E13" i="3"/>
  <c r="E5" i="3"/>
  <c r="E18" i="3"/>
  <c r="D16" i="3"/>
  <c r="D3" i="3"/>
  <c r="D10" i="3"/>
  <c r="D17" i="3"/>
  <c r="E17" i="3"/>
  <c r="E15" i="3"/>
  <c r="D2" i="3"/>
  <c r="E6" i="3"/>
  <c r="AM41" i="3" l="1"/>
  <c r="AM79" i="3"/>
  <c r="AM76" i="3"/>
  <c r="AK76" i="3"/>
  <c r="AR76" i="3" s="1"/>
  <c r="AC62" i="3"/>
  <c r="AD74" i="3"/>
  <c r="AF65" i="3"/>
  <c r="AE67" i="3"/>
  <c r="AD62" i="3"/>
  <c r="AF75" i="3"/>
  <c r="AF66" i="3"/>
  <c r="AE76" i="3"/>
  <c r="AE56" i="3"/>
  <c r="AL70" i="3"/>
  <c r="AF76" i="3"/>
  <c r="AE60" i="3"/>
  <c r="AM73" i="3"/>
  <c r="AL79" i="3"/>
  <c r="AE72" i="3"/>
  <c r="AD72" i="3"/>
  <c r="AE59" i="3"/>
  <c r="AF63" i="3"/>
  <c r="AK79" i="3"/>
  <c r="AR79" i="3" s="1"/>
  <c r="AE61" i="3"/>
  <c r="AF79" i="3"/>
  <c r="AD73" i="3"/>
  <c r="AK64" i="3"/>
  <c r="AR64" i="3" s="1"/>
  <c r="AD61" i="3"/>
  <c r="AD79" i="3"/>
  <c r="AD64" i="3"/>
  <c r="AN35" i="3"/>
  <c r="AE70" i="3"/>
  <c r="AN64" i="3"/>
  <c r="AK61" i="3"/>
  <c r="AR61" i="3" s="1"/>
  <c r="AF60" i="3"/>
  <c r="AN41" i="3"/>
  <c r="AK41" i="3"/>
  <c r="AK42" i="3" s="1"/>
  <c r="AL35" i="3"/>
  <c r="AN47" i="3"/>
  <c r="AM64" i="3"/>
  <c r="AF70" i="3"/>
  <c r="AE65" i="3"/>
  <c r="AD69" i="3"/>
  <c r="AC65" i="3"/>
  <c r="AC74" i="3"/>
  <c r="AK70" i="3"/>
  <c r="AR70" i="3" s="1"/>
  <c r="AF67" i="3"/>
  <c r="AD67" i="3"/>
  <c r="AE69" i="3"/>
  <c r="AF59" i="3"/>
  <c r="AF73" i="3"/>
  <c r="AE62" i="3"/>
  <c r="AL73" i="3"/>
  <c r="AN73" i="3"/>
  <c r="AD66" i="3"/>
  <c r="AF69" i="3"/>
  <c r="AD63" i="3"/>
  <c r="AN61" i="3"/>
  <c r="AU61" i="3" s="1"/>
  <c r="AD60" i="3"/>
  <c r="AD59" i="3"/>
  <c r="AD71" i="3"/>
  <c r="AL64" i="3"/>
  <c r="AE79" i="3"/>
  <c r="AK38" i="3"/>
  <c r="AK39" i="3" s="1"/>
  <c r="AK67" i="3"/>
  <c r="AR67" i="3" s="1"/>
  <c r="AN70" i="3"/>
  <c r="AE71" i="3"/>
  <c r="AD75" i="3"/>
  <c r="AE63" i="3"/>
  <c r="AC59" i="3"/>
  <c r="AE75" i="3"/>
  <c r="AD70" i="3"/>
  <c r="AD58" i="3"/>
  <c r="AO41" i="3"/>
  <c r="AL29" i="3"/>
  <c r="AL50" i="3"/>
  <c r="AO32" i="3"/>
  <c r="AO29" i="3"/>
  <c r="AK29" i="3"/>
  <c r="AK30" i="3" s="1"/>
  <c r="AN67" i="3"/>
  <c r="AF61" i="3"/>
  <c r="AF72" i="3"/>
  <c r="AL38" i="3"/>
  <c r="AM58" i="3"/>
  <c r="AU29" i="3"/>
  <c r="AF64" i="3"/>
  <c r="AF57" i="3"/>
  <c r="AF68" i="3"/>
  <c r="AR29" i="3"/>
  <c r="AR30" i="3"/>
  <c r="AU30" i="3"/>
  <c r="AM67" i="3"/>
  <c r="AF58" i="3"/>
  <c r="AE64" i="3"/>
  <c r="AT30" i="3"/>
  <c r="AN76" i="3"/>
  <c r="AN79" i="3"/>
  <c r="AE74" i="3"/>
  <c r="AE58" i="3"/>
  <c r="AL47" i="3"/>
  <c r="AO50" i="3"/>
  <c r="AK58" i="3"/>
  <c r="AR58" i="3" s="1"/>
  <c r="AT29" i="3"/>
  <c r="AD57" i="3"/>
  <c r="AQ29" i="3"/>
  <c r="AQ32" i="3" s="1"/>
  <c r="AU41" i="3" s="1"/>
  <c r="AF56" i="3"/>
  <c r="AD77" i="3"/>
  <c r="AS30" i="3"/>
  <c r="AC68" i="3"/>
  <c r="AD56" i="3"/>
  <c r="AL67" i="3"/>
  <c r="AN50" i="3"/>
  <c r="AL41" i="3"/>
  <c r="AM29" i="3"/>
  <c r="AK32" i="3"/>
  <c r="AK33" i="3" s="1"/>
  <c r="AN44" i="3"/>
  <c r="AM44" i="3"/>
  <c r="AM50" i="3"/>
  <c r="AN58" i="3"/>
  <c r="AE77" i="3"/>
  <c r="AE68" i="3"/>
  <c r="AQ30" i="3"/>
  <c r="AQ33" i="3" s="1"/>
  <c r="AU42" i="3" s="1"/>
  <c r="AL58" i="3"/>
  <c r="AE78" i="3"/>
  <c r="AO35" i="3"/>
  <c r="AM35" i="3"/>
  <c r="AL76" i="3"/>
  <c r="AE66" i="3"/>
  <c r="AD78" i="3"/>
  <c r="AM32" i="3"/>
  <c r="AN32" i="3"/>
  <c r="AD68" i="3"/>
  <c r="AE73" i="3"/>
  <c r="AK35" i="3"/>
  <c r="AK36" i="3" s="1"/>
  <c r="AO47" i="3"/>
  <c r="AK47" i="3"/>
  <c r="AK48" i="3" s="1"/>
  <c r="AD76" i="3"/>
  <c r="AF77" i="3"/>
  <c r="AC77" i="3"/>
  <c r="AN38" i="3"/>
  <c r="AM38" i="3"/>
  <c r="AM47" i="3"/>
  <c r="AS29" i="3"/>
  <c r="AK73" i="3"/>
  <c r="AR73" i="3" s="1"/>
  <c r="AK44" i="3"/>
  <c r="AK45" i="3" s="1"/>
  <c r="AO44" i="3"/>
  <c r="AF78" i="3"/>
  <c r="AM61" i="3"/>
  <c r="AK50" i="3"/>
  <c r="AK51" i="3" s="1"/>
  <c r="AN29" i="3"/>
  <c r="AO38" i="3"/>
  <c r="H18" i="2"/>
  <c r="G28" i="2"/>
  <c r="G27" i="2"/>
  <c r="G26" i="2"/>
  <c r="G25" i="2"/>
  <c r="L25" i="2" s="1"/>
  <c r="F28" i="2"/>
  <c r="F27" i="2"/>
  <c r="F26" i="2"/>
  <c r="F25" i="2"/>
  <c r="K25" i="2" s="1"/>
  <c r="G21" i="2"/>
  <c r="E28" i="2"/>
  <c r="E27" i="2"/>
  <c r="E26" i="2"/>
  <c r="E25" i="2"/>
  <c r="J25" i="2" s="1"/>
  <c r="D28" i="2"/>
  <c r="D27" i="2"/>
  <c r="D26" i="2"/>
  <c r="D25" i="2"/>
  <c r="I25" i="2" s="1"/>
  <c r="C28" i="2"/>
  <c r="C27" i="2"/>
  <c r="C26" i="2"/>
  <c r="C25" i="2"/>
  <c r="G24" i="2"/>
  <c r="G23" i="2"/>
  <c r="G22" i="2"/>
  <c r="G19" i="2"/>
  <c r="G17" i="2"/>
  <c r="G16" i="2"/>
  <c r="G14" i="2"/>
  <c r="G13" i="2"/>
  <c r="G12" i="2"/>
  <c r="G10" i="2"/>
  <c r="G9" i="2"/>
  <c r="G8" i="2"/>
  <c r="G7" i="2"/>
  <c r="G6" i="2"/>
  <c r="G5" i="2"/>
  <c r="G3" i="2"/>
  <c r="F24" i="2"/>
  <c r="F23" i="2"/>
  <c r="F22" i="2"/>
  <c r="F21" i="2"/>
  <c r="F19" i="2"/>
  <c r="F17" i="2"/>
  <c r="F16" i="2"/>
  <c r="F14" i="2"/>
  <c r="F13" i="2"/>
  <c r="F12" i="2"/>
  <c r="F10" i="2"/>
  <c r="F9" i="2"/>
  <c r="F8" i="2"/>
  <c r="F7" i="2"/>
  <c r="F6" i="2"/>
  <c r="F5" i="2"/>
  <c r="F3" i="2"/>
  <c r="AS76" i="3" l="1"/>
  <c r="L28" i="2"/>
  <c r="H14" i="2"/>
  <c r="L26" i="2"/>
  <c r="L27" i="2"/>
  <c r="I26" i="2"/>
  <c r="K26" i="2"/>
  <c r="I28" i="2"/>
  <c r="K27" i="2"/>
  <c r="K28" i="2"/>
  <c r="I27" i="2"/>
  <c r="J26" i="2"/>
  <c r="J27" i="2"/>
  <c r="J28" i="2"/>
  <c r="AT70" i="3"/>
  <c r="AU76" i="3"/>
  <c r="AT76" i="3"/>
  <c r="AO39" i="3"/>
  <c r="AU67" i="3"/>
  <c r="AL42" i="3"/>
  <c r="AM42" i="3"/>
  <c r="AN30" i="3"/>
  <c r="AS64" i="3"/>
  <c r="AT61" i="3"/>
  <c r="AS79" i="3"/>
  <c r="AO42" i="3"/>
  <c r="AU70" i="3"/>
  <c r="AN42" i="3"/>
  <c r="AT79" i="3"/>
  <c r="AU64" i="3"/>
  <c r="AU79" i="3"/>
  <c r="AT64" i="3"/>
  <c r="AS61" i="3"/>
  <c r="AS70" i="3"/>
  <c r="AU58" i="3"/>
  <c r="AR32" i="3"/>
  <c r="AS41" i="3" s="1"/>
  <c r="AL39" i="3"/>
  <c r="AT58" i="3"/>
  <c r="AT33" i="3"/>
  <c r="AR42" i="3" s="1"/>
  <c r="AM39" i="3"/>
  <c r="AN39" i="3"/>
  <c r="AS67" i="3"/>
  <c r="AL48" i="3"/>
  <c r="AT67" i="3"/>
  <c r="AS33" i="3"/>
  <c r="AQ42" i="3" s="1"/>
  <c r="AL30" i="3"/>
  <c r="AO30" i="3"/>
  <c r="AS58" i="3"/>
  <c r="AU33" i="3"/>
  <c r="AT42" i="3" s="1"/>
  <c r="AM30" i="3"/>
  <c r="AS32" i="3"/>
  <c r="AQ41" i="3" s="1"/>
  <c r="AO48" i="3"/>
  <c r="AL45" i="3"/>
  <c r="AM48" i="3"/>
  <c r="AU73" i="3"/>
  <c r="AT73" i="3"/>
  <c r="AT32" i="3"/>
  <c r="AR41" i="3" s="1"/>
  <c r="AM51" i="3"/>
  <c r="AN45" i="3"/>
  <c r="AU32" i="3"/>
  <c r="AT41" i="3" s="1"/>
  <c r="AS73" i="3"/>
  <c r="AO45" i="3"/>
  <c r="AO36" i="3"/>
  <c r="AM45" i="3"/>
  <c r="AL33" i="3"/>
  <c r="AN33" i="3"/>
  <c r="AL51" i="3"/>
  <c r="AR33" i="3"/>
  <c r="AS42" i="3" s="1"/>
  <c r="AM33" i="3"/>
  <c r="AO33" i="3"/>
  <c r="AN51" i="3"/>
  <c r="AN48" i="3"/>
  <c r="AO51" i="3"/>
  <c r="AM36" i="3"/>
  <c r="AL36" i="3"/>
  <c r="AN36" i="3"/>
  <c r="H25" i="2"/>
  <c r="H27" i="2"/>
  <c r="H28" i="2"/>
  <c r="H24" i="2"/>
  <c r="H16" i="2"/>
  <c r="H12" i="2"/>
  <c r="H13" i="2"/>
  <c r="H23" i="2"/>
  <c r="H5" i="2"/>
  <c r="H3" i="2"/>
  <c r="H6" i="2"/>
  <c r="H17" i="2"/>
  <c r="H7" i="2"/>
  <c r="H26" i="2"/>
  <c r="H22" i="2"/>
  <c r="H8" i="2"/>
  <c r="H9" i="2"/>
  <c r="H19" i="2"/>
  <c r="H21" i="2"/>
  <c r="E24" i="2"/>
  <c r="E23" i="2"/>
  <c r="E22" i="2"/>
  <c r="E21" i="2"/>
  <c r="D24" i="2"/>
  <c r="D23" i="2"/>
  <c r="D22" i="2"/>
  <c r="D21" i="2"/>
  <c r="C24" i="2"/>
  <c r="C23" i="2"/>
  <c r="C22" i="2"/>
  <c r="C21" i="2"/>
  <c r="E19" i="2"/>
  <c r="E17" i="2"/>
  <c r="D19" i="2"/>
  <c r="D17" i="2"/>
  <c r="C19" i="2"/>
  <c r="C17" i="2"/>
  <c r="E14" i="2"/>
  <c r="E13" i="2"/>
  <c r="E12" i="2"/>
  <c r="D14" i="2"/>
  <c r="D13" i="2"/>
  <c r="D12" i="2"/>
  <c r="C14" i="2"/>
  <c r="C13" i="2"/>
  <c r="C12" i="2"/>
  <c r="E10" i="2"/>
  <c r="E9" i="2"/>
  <c r="E8" i="2"/>
  <c r="E7" i="2"/>
  <c r="E6" i="2"/>
  <c r="E5" i="2"/>
  <c r="D10" i="2"/>
  <c r="D9" i="2"/>
  <c r="D8" i="2"/>
  <c r="D7" i="2"/>
  <c r="D6" i="2"/>
  <c r="D5" i="2"/>
  <c r="C10" i="2"/>
  <c r="C9" i="2"/>
  <c r="C8" i="2"/>
  <c r="C7" i="2"/>
  <c r="C6" i="2"/>
  <c r="C5" i="2"/>
  <c r="E3" i="2"/>
  <c r="D3" i="2"/>
  <c r="C3" i="2"/>
</calcChain>
</file>

<file path=xl/sharedStrings.xml><?xml version="1.0" encoding="utf-8"?>
<sst xmlns="http://schemas.openxmlformats.org/spreadsheetml/2006/main" count="341" uniqueCount="125">
  <si>
    <t>Male</t>
  </si>
  <si>
    <t>Female</t>
  </si>
  <si>
    <t>18 - 30</t>
  </si>
  <si>
    <t>31 - 64</t>
  </si>
  <si>
    <t>65+</t>
  </si>
  <si>
    <t>Not Stated</t>
  </si>
  <si>
    <t>Drawn</t>
  </si>
  <si>
    <t>Aimed</t>
  </si>
  <si>
    <t>Red Dot</t>
  </si>
  <si>
    <t>Arced</t>
  </si>
  <si>
    <t>Drive Stun</t>
  </si>
  <si>
    <t>Mixed</t>
  </si>
  <si>
    <t>White</t>
  </si>
  <si>
    <t>Asian</t>
  </si>
  <si>
    <t>Black</t>
  </si>
  <si>
    <t>Under 18</t>
  </si>
  <si>
    <t>Gender</t>
  </si>
  <si>
    <t>Age</t>
  </si>
  <si>
    <t>Ethnicity</t>
  </si>
  <si>
    <t>Type of Taser Use</t>
  </si>
  <si>
    <t>Total Taser Use Events</t>
  </si>
  <si>
    <t>Multiple officers can use Tasers in a singular event</t>
  </si>
  <si>
    <t>Drawn, aimed, red dot and arced are considered non discharged</t>
  </si>
  <si>
    <t>Fired</t>
  </si>
  <si>
    <t>Fired, drive stun and angled drive stun are considered discharged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</si>
  <si>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</si>
  <si>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</si>
  <si>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</si>
  <si>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</si>
  <si>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</si>
  <si>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</si>
  <si>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</si>
  <si>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</si>
  <si>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</si>
  <si>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</si>
  <si>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</si>
  <si>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</si>
  <si>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</si>
  <si>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</si>
  <si>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</si>
  <si>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</si>
  <si>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</si>
  <si>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</si>
  <si>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2020-07</t>
  </si>
  <si>
    <t>2020-08</t>
  </si>
  <si>
    <t>There might be slight variations between data sets produced, as data may be added, removed or amended at different dates</t>
  </si>
  <si>
    <t>2020-09</t>
  </si>
  <si>
    <t>2020-10</t>
  </si>
  <si>
    <t>2020-11</t>
  </si>
  <si>
    <t>Graph</t>
  </si>
  <si>
    <t>Metric</t>
  </si>
  <si>
    <t>Last Month</t>
  </si>
  <si>
    <t>Last 3 Month Average</t>
  </si>
  <si>
    <t>Last Month Previous Year</t>
  </si>
  <si>
    <t>Overview</t>
  </si>
  <si>
    <t>Other / Unknown</t>
  </si>
  <si>
    <t>2020-12</t>
  </si>
  <si>
    <t>Mean</t>
  </si>
  <si>
    <t>UCL</t>
  </si>
  <si>
    <t>LCL</t>
  </si>
  <si>
    <t>SD</t>
  </si>
  <si>
    <t>Total Taser Use Incidents</t>
  </si>
  <si>
    <t>Types of Taser Use</t>
  </si>
  <si>
    <t>Subject Gender</t>
  </si>
  <si>
    <t>Subject Age</t>
  </si>
  <si>
    <t>18-30</t>
  </si>
  <si>
    <t>31-64</t>
  </si>
  <si>
    <t>Subject Ethnicity</t>
  </si>
  <si>
    <t>Last 12 Month Sum</t>
  </si>
  <si>
    <t>Previous 12 Month Sum</t>
  </si>
  <si>
    <t>2021-01</t>
  </si>
  <si>
    <t>R/1000</t>
  </si>
  <si>
    <t>White British</t>
  </si>
  <si>
    <t>White Irish</t>
  </si>
  <si>
    <t>White Gypsy / Traveller</t>
  </si>
  <si>
    <t>White Other</t>
  </si>
  <si>
    <t>Other</t>
  </si>
  <si>
    <t>N/A</t>
  </si>
  <si>
    <t>White (R/1000)</t>
  </si>
  <si>
    <t>Mixed (R/1000)</t>
  </si>
  <si>
    <t>Asian (R/1000)</t>
  </si>
  <si>
    <t>Black (R/1000)</t>
  </si>
  <si>
    <t>BAME</t>
  </si>
  <si>
    <t xml:space="preserve"> </t>
  </si>
  <si>
    <t>2021-02</t>
  </si>
  <si>
    <t>2021-03</t>
  </si>
  <si>
    <t>2021-04</t>
  </si>
  <si>
    <t>2021-05</t>
  </si>
  <si>
    <t>1. EXTRACT AND MANUALLY REVIEW THE PREVIOUS MONTHS DATA VIA PRONTO</t>
  </si>
  <si>
    <t>2. Input data into next line of the "Data" tab</t>
  </si>
  <si>
    <t>3. Update cells A2-A25 of the "Tables" tab with the last 24 months</t>
  </si>
  <si>
    <r>
      <t xml:space="preserve">NOTE: This will automatically update the rest of the "Tables" tab, </t>
    </r>
    <r>
      <rPr>
        <b/>
        <u/>
        <sz val="10"/>
        <color theme="0"/>
        <rFont val="Arial"/>
        <family val="2"/>
      </rPr>
      <t>ALL</t>
    </r>
    <r>
      <rPr>
        <b/>
        <sz val="10"/>
        <color theme="0"/>
        <rFont val="Arial"/>
        <family val="2"/>
      </rPr>
      <t xml:space="preserve"> of the "Data Set" tab &amp; the data held within the "Display" tab</t>
    </r>
  </si>
  <si>
    <t>4. Update the title of the "Data Set" tab to reference the previous 24 months</t>
  </si>
  <si>
    <t>5. Redirect the arrows in column H of the "Display" tab as per the agreed alignment</t>
  </si>
  <si>
    <t>6. Re-colour the map in cell A72-A78 of the "Display" tab in line with the data shown</t>
  </si>
  <si>
    <t>7. Save the "Data Set" and "Display" tabs as PDFs and upload to the Performance Hub</t>
  </si>
  <si>
    <t>Performance Hub (intranet.police.uk)</t>
  </si>
  <si>
    <t>BEST PRACTICE: Ensure the Analytical lead is aware that updated date is available</t>
  </si>
  <si>
    <t>Year - Month</t>
  </si>
  <si>
    <t>Total Taser Uses</t>
  </si>
  <si>
    <t>Total Usage</t>
  </si>
  <si>
    <t>Total Taser Usages</t>
  </si>
  <si>
    <t>Usage Type</t>
  </si>
  <si>
    <t>Gender Volumes</t>
  </si>
  <si>
    <t>Age Volumes</t>
  </si>
  <si>
    <t>Ethnicity Volumes</t>
  </si>
  <si>
    <t>2021-06</t>
  </si>
  <si>
    <t>2021-07</t>
  </si>
  <si>
    <t>2021-08</t>
  </si>
  <si>
    <t>2021-09</t>
  </si>
  <si>
    <t>Highest Type of Taser Use</t>
  </si>
  <si>
    <t>2021-10</t>
  </si>
  <si>
    <r>
      <t xml:space="preserve">Trend </t>
    </r>
    <r>
      <rPr>
        <b/>
        <sz val="9"/>
        <rFont val="Arial"/>
        <family val="2"/>
      </rPr>
      <t>(Last 12 Month vs Prev. 12 Month)</t>
    </r>
  </si>
  <si>
    <t>2021-11</t>
  </si>
  <si>
    <t>2021-12</t>
  </si>
  <si>
    <t>P12m</t>
  </si>
  <si>
    <t>L12m</t>
  </si>
  <si>
    <t>UoF / Arrest</t>
  </si>
  <si>
    <t>2022-01</t>
  </si>
  <si>
    <t>2022-02</t>
  </si>
  <si>
    <t>2022-03</t>
  </si>
  <si>
    <t>2022-04</t>
  </si>
  <si>
    <t>2022-05</t>
  </si>
  <si>
    <t>2022-06</t>
  </si>
  <si>
    <t>Northamptonshire Police Taser Use Data Set - July 2020  to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</si>
</sst>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%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8E5FF"/>
        <bgColor rgb="FFFFFFFF"/>
      </patternFill>
    </fill>
    <fill>
      <patternFill patternType="solid">
        <fgColor rgb="FFF8E5FF"/>
        <bgColor indexed="64"/>
      </patternFill>
    </fill>
    <fill>
      <patternFill patternType="solid">
        <fgColor rgb="FFFFD5D5"/>
        <bgColor rgb="FFFFFFFF"/>
      </patternFill>
    </fill>
    <fill>
      <patternFill patternType="solid">
        <fgColor rgb="FFFFD5D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horizontal="center" vertical="center" wrapText="1"/>
    </xf>
    <xf numFmtId="0" fontId="9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 vertical="top" wrapText="1"/>
    </xf>
    <xf numFmtId="1" fontId="0" fillId="4" borderId="1" xfId="0" applyNumberForma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" fontId="0" fillId="4" borderId="18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2" fontId="0" fillId="0" borderId="0" xfId="0" applyNumberFormat="1"/>
    <xf numFmtId="165" fontId="1" fillId="0" borderId="34" xfId="0" applyNumberFormat="1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0" xfId="0" applyFill="1"/>
    <xf numFmtId="10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2"/>
    <xf numFmtId="49" fontId="6" fillId="0" borderId="3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49" fontId="13" fillId="9" borderId="3" xfId="0" applyNumberFormat="1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13" fillId="12" borderId="3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49" fontId="6" fillId="8" borderId="28" xfId="0" applyNumberFormat="1" applyFont="1" applyFill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49" fontId="6" fillId="8" borderId="45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49" fontId="13" fillId="9" borderId="23" xfId="0" applyNumberFormat="1" applyFont="1" applyFill="1" applyBorder="1" applyAlignment="1">
      <alignment horizontal="center" vertical="center" wrapText="1"/>
    </xf>
    <xf numFmtId="49" fontId="13" fillId="10" borderId="23" xfId="0" applyNumberFormat="1" applyFont="1" applyFill="1" applyBorder="1" applyAlignment="1">
      <alignment horizontal="center" vertical="center"/>
    </xf>
    <xf numFmtId="49" fontId="13" fillId="12" borderId="23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top"/>
    </xf>
    <xf numFmtId="1" fontId="0" fillId="2" borderId="15" xfId="0" applyNumberFormat="1" applyFont="1" applyFill="1" applyBorder="1" applyAlignment="1">
      <alignment horizontal="center" vertical="top" wrapText="1"/>
    </xf>
    <xf numFmtId="0" fontId="0" fillId="2" borderId="15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1" fontId="0" fillId="4" borderId="3" xfId="0" applyNumberFormat="1" applyFill="1" applyBorder="1" applyAlignment="1">
      <alignment horizontal="center" vertical="top"/>
    </xf>
    <xf numFmtId="1" fontId="0" fillId="4" borderId="4" xfId="0" applyNumberFormat="1" applyFill="1" applyBorder="1" applyAlignment="1">
      <alignment horizontal="center" vertical="top"/>
    </xf>
    <xf numFmtId="1" fontId="0" fillId="4" borderId="3" xfId="0" applyNumberFormat="1" applyFont="1" applyFill="1" applyBorder="1" applyAlignment="1">
      <alignment horizontal="center" vertical="top" wrapText="1"/>
    </xf>
    <xf numFmtId="1" fontId="0" fillId="4" borderId="4" xfId="0" applyNumberFormat="1" applyFont="1" applyFill="1" applyBorder="1" applyAlignment="1">
      <alignment horizontal="center" vertical="top" wrapText="1"/>
    </xf>
    <xf numFmtId="0" fontId="0" fillId="4" borderId="3" xfId="0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 vertical="top" wrapText="1"/>
    </xf>
    <xf numFmtId="49" fontId="13" fillId="9" borderId="24" xfId="0" applyNumberFormat="1" applyFont="1" applyFill="1" applyBorder="1" applyAlignment="1">
      <alignment horizontal="center" vertical="center" wrapText="1"/>
    </xf>
    <xf numFmtId="49" fontId="13" fillId="9" borderId="25" xfId="0" applyNumberFormat="1" applyFont="1" applyFill="1" applyBorder="1" applyAlignment="1">
      <alignment horizontal="center" vertical="center" wrapText="1"/>
    </xf>
    <xf numFmtId="49" fontId="13" fillId="10" borderId="24" xfId="0" applyNumberFormat="1" applyFont="1" applyFill="1" applyBorder="1" applyAlignment="1">
      <alignment horizontal="center" vertical="center"/>
    </xf>
    <xf numFmtId="49" fontId="13" fillId="10" borderId="25" xfId="0" applyNumberFormat="1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49" fontId="13" fillId="10" borderId="4" xfId="0" applyNumberFormat="1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49" fontId="13" fillId="12" borderId="24" xfId="0" applyNumberFormat="1" applyFont="1" applyFill="1" applyBorder="1" applyAlignment="1">
      <alignment horizontal="center" vertical="center" wrapText="1"/>
    </xf>
    <xf numFmtId="49" fontId="13" fillId="12" borderId="25" xfId="0" applyNumberFormat="1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49" fontId="13" fillId="12" borderId="4" xfId="0" applyNumberFormat="1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1" fontId="0" fillId="2" borderId="20" xfId="0" applyNumberFormat="1" applyFont="1" applyFill="1" applyBorder="1" applyAlignment="1">
      <alignment horizontal="center"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1" fontId="0" fillId="4" borderId="19" xfId="0" applyNumberFormat="1" applyFont="1" applyFill="1" applyBorder="1" applyAlignment="1">
      <alignment horizontal="center" vertical="top" wrapText="1"/>
    </xf>
    <xf numFmtId="0" fontId="13" fillId="10" borderId="19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 wrapText="1"/>
    </xf>
    <xf numFmtId="49" fontId="13" fillId="9" borderId="4" xfId="0" applyNumberFormat="1" applyFont="1" applyFill="1" applyBorder="1" applyAlignment="1">
      <alignment horizontal="center" vertical="center" wrapText="1"/>
    </xf>
    <xf numFmtId="49" fontId="13" fillId="10" borderId="3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left" vertical="top"/>
    </xf>
    <xf numFmtId="0" fontId="16" fillId="5" borderId="0" xfId="0" applyFont="1" applyFill="1" applyBorder="1" applyAlignment="1">
      <alignment vertical="top"/>
    </xf>
    <xf numFmtId="0" fontId="13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6" fillId="8" borderId="50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49" fontId="3" fillId="9" borderId="32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17" fillId="9" borderId="24" xfId="0" applyNumberFormat="1" applyFont="1" applyFill="1" applyBorder="1" applyAlignment="1">
      <alignment horizontal="center" vertical="center" wrapText="1"/>
    </xf>
    <xf numFmtId="49" fontId="17" fillId="9" borderId="23" xfId="0" applyNumberFormat="1" applyFont="1" applyFill="1" applyBorder="1" applyAlignment="1">
      <alignment horizontal="center" vertical="center" wrapText="1"/>
    </xf>
    <xf numFmtId="49" fontId="17" fillId="9" borderId="25" xfId="0" applyNumberFormat="1" applyFont="1" applyFill="1" applyBorder="1" applyAlignment="1">
      <alignment horizontal="center" vertical="center" wrapText="1"/>
    </xf>
    <xf numFmtId="49" fontId="17" fillId="9" borderId="10" xfId="0" applyNumberFormat="1" applyFont="1" applyFill="1" applyBorder="1" applyAlignment="1">
      <alignment horizontal="center" vertical="center" wrapText="1"/>
    </xf>
    <xf numFmtId="49" fontId="17" fillId="9" borderId="11" xfId="0" applyNumberFormat="1" applyFont="1" applyFill="1" applyBorder="1" applyAlignment="1">
      <alignment horizontal="center" vertical="center" wrapText="1"/>
    </xf>
    <xf numFmtId="49" fontId="17" fillId="9" borderId="12" xfId="0" applyNumberFormat="1" applyFont="1" applyFill="1" applyBorder="1" applyAlignment="1">
      <alignment horizontal="center" vertical="center" wrapText="1"/>
    </xf>
    <xf numFmtId="49" fontId="17" fillId="9" borderId="44" xfId="0" applyNumberFormat="1" applyFont="1" applyFill="1" applyBorder="1" applyAlignment="1">
      <alignment horizontal="center" vertical="center" wrapText="1"/>
    </xf>
    <xf numFmtId="49" fontId="17" fillId="9" borderId="43" xfId="0" applyNumberFormat="1" applyFont="1" applyFill="1" applyBorder="1" applyAlignment="1">
      <alignment horizontal="center" vertical="center" wrapText="1"/>
    </xf>
    <xf numFmtId="49" fontId="17" fillId="9" borderId="51" xfId="0" applyNumberFormat="1" applyFont="1" applyFill="1" applyBorder="1" applyAlignment="1">
      <alignment horizontal="center" vertical="center" wrapText="1"/>
    </xf>
    <xf numFmtId="0" fontId="17" fillId="10" borderId="24" xfId="0" applyNumberFormat="1" applyFont="1" applyFill="1" applyBorder="1" applyAlignment="1">
      <alignment horizontal="center" vertical="center"/>
    </xf>
    <xf numFmtId="0" fontId="17" fillId="10" borderId="23" xfId="0" applyNumberFormat="1" applyFont="1" applyFill="1" applyBorder="1" applyAlignment="1">
      <alignment horizontal="center" vertical="center"/>
    </xf>
    <xf numFmtId="0" fontId="17" fillId="10" borderId="25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17" fillId="10" borderId="1" xfId="0" applyNumberFormat="1" applyFont="1" applyFill="1" applyBorder="1" applyAlignment="1">
      <alignment horizontal="center" vertical="center"/>
    </xf>
    <xf numFmtId="0" fontId="17" fillId="10" borderId="3" xfId="0" applyNumberFormat="1" applyFont="1" applyFill="1" applyBorder="1" applyAlignment="1">
      <alignment horizontal="center" vertical="center"/>
    </xf>
    <xf numFmtId="0" fontId="17" fillId="10" borderId="4" xfId="0" applyNumberFormat="1" applyFont="1" applyFill="1" applyBorder="1" applyAlignment="1">
      <alignment horizontal="center" vertical="center"/>
    </xf>
    <xf numFmtId="0" fontId="17" fillId="10" borderId="5" xfId="0" applyNumberFormat="1" applyFont="1" applyFill="1" applyBorder="1" applyAlignment="1">
      <alignment horizontal="center" vertical="center"/>
    </xf>
    <xf numFmtId="0" fontId="17" fillId="10" borderId="7" xfId="0" applyNumberFormat="1" applyFont="1" applyFill="1" applyBorder="1" applyAlignment="1">
      <alignment horizontal="center" vertical="center"/>
    </xf>
    <xf numFmtId="0" fontId="17" fillId="10" borderId="6" xfId="0" applyNumberFormat="1" applyFont="1" applyFill="1" applyBorder="1" applyAlignment="1">
      <alignment horizontal="center" vertical="center"/>
    </xf>
    <xf numFmtId="49" fontId="3" fillId="10" borderId="32" xfId="0" applyNumberFormat="1" applyFont="1" applyFill="1" applyBorder="1" applyAlignment="1">
      <alignment horizontal="center" vertical="center" wrapText="1"/>
    </xf>
    <xf numFmtId="49" fontId="3" fillId="10" borderId="33" xfId="0" applyNumberFormat="1" applyFont="1" applyFill="1" applyBorder="1" applyAlignment="1">
      <alignment horizontal="center" vertical="center" wrapText="1"/>
    </xf>
    <xf numFmtId="49" fontId="3" fillId="10" borderId="34" xfId="0" applyNumberFormat="1" applyFont="1" applyFill="1" applyBorder="1" applyAlignment="1">
      <alignment horizontal="center" vertical="center" wrapText="1"/>
    </xf>
    <xf numFmtId="0" fontId="17" fillId="12" borderId="1" xfId="0" applyNumberFormat="1" applyFont="1" applyFill="1" applyBorder="1" applyAlignment="1">
      <alignment horizontal="center" vertical="center" wrapText="1"/>
    </xf>
    <xf numFmtId="0" fontId="17" fillId="12" borderId="10" xfId="0" applyNumberFormat="1" applyFont="1" applyFill="1" applyBorder="1" applyAlignment="1">
      <alignment horizontal="center" vertical="center" wrapText="1"/>
    </xf>
    <xf numFmtId="0" fontId="17" fillId="12" borderId="11" xfId="0" applyNumberFormat="1" applyFont="1" applyFill="1" applyBorder="1" applyAlignment="1">
      <alignment horizontal="center" vertical="center" wrapText="1"/>
    </xf>
    <xf numFmtId="0" fontId="17" fillId="12" borderId="12" xfId="0" applyNumberFormat="1" applyFont="1" applyFill="1" applyBorder="1" applyAlignment="1">
      <alignment horizontal="center" vertical="center" wrapText="1"/>
    </xf>
    <xf numFmtId="0" fontId="17" fillId="12" borderId="3" xfId="0" applyNumberFormat="1" applyFont="1" applyFill="1" applyBorder="1" applyAlignment="1">
      <alignment horizontal="center" vertical="center" wrapText="1"/>
    </xf>
    <xf numFmtId="0" fontId="17" fillId="12" borderId="4" xfId="0" applyNumberFormat="1" applyFont="1" applyFill="1" applyBorder="1" applyAlignment="1">
      <alignment horizontal="center" vertical="center" wrapText="1"/>
    </xf>
    <xf numFmtId="0" fontId="17" fillId="12" borderId="5" xfId="0" applyNumberFormat="1" applyFont="1" applyFill="1" applyBorder="1" applyAlignment="1">
      <alignment horizontal="center" vertical="center" wrapText="1"/>
    </xf>
    <xf numFmtId="0" fontId="17" fillId="12" borderId="7" xfId="0" applyNumberFormat="1" applyFont="1" applyFill="1" applyBorder="1" applyAlignment="1">
      <alignment horizontal="center" vertical="center" wrapText="1"/>
    </xf>
    <xf numFmtId="0" fontId="17" fillId="12" borderId="6" xfId="0" applyNumberFormat="1" applyFont="1" applyFill="1" applyBorder="1" applyAlignment="1">
      <alignment horizontal="center" vertical="center" wrapText="1"/>
    </xf>
    <xf numFmtId="49" fontId="3" fillId="12" borderId="40" xfId="0" applyNumberFormat="1" applyFont="1" applyFill="1" applyBorder="1" applyAlignment="1">
      <alignment horizontal="center" vertical="center" wrapText="1"/>
    </xf>
    <xf numFmtId="49" fontId="3" fillId="12" borderId="36" xfId="0" applyNumberFormat="1" applyFont="1" applyFill="1" applyBorder="1" applyAlignment="1">
      <alignment horizontal="center" vertical="center" wrapText="1"/>
    </xf>
    <xf numFmtId="49" fontId="3" fillId="12" borderId="41" xfId="0" applyNumberFormat="1" applyFont="1" applyFill="1" applyBorder="1" applyAlignment="1">
      <alignment horizontal="center" vertical="center" wrapText="1"/>
    </xf>
    <xf numFmtId="1" fontId="0" fillId="4" borderId="22" xfId="0" applyNumberFormat="1" applyFont="1" applyFill="1" applyBorder="1" applyAlignment="1">
      <alignment horizontal="center" vertical="center"/>
    </xf>
    <xf numFmtId="1" fontId="0" fillId="4" borderId="23" xfId="0" applyNumberFormat="1" applyFont="1" applyFill="1" applyBorder="1" applyAlignment="1">
      <alignment horizontal="center" vertical="center"/>
    </xf>
    <xf numFmtId="1" fontId="0" fillId="4" borderId="25" xfId="0" applyNumberFormat="1" applyFont="1" applyFill="1" applyBorder="1" applyAlignment="1">
      <alignment horizontal="center" vertical="center"/>
    </xf>
    <xf numFmtId="1" fontId="0" fillId="4" borderId="2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1" fontId="0" fillId="4" borderId="4" xfId="0" applyNumberFormat="1" applyFont="1" applyFill="1" applyBorder="1" applyAlignment="1">
      <alignment horizontal="center" vertical="center"/>
    </xf>
    <xf numFmtId="1" fontId="0" fillId="4" borderId="14" xfId="0" applyNumberFormat="1" applyFont="1" applyFill="1" applyBorder="1" applyAlignment="1">
      <alignment horizontal="center" vertical="center"/>
    </xf>
    <xf numFmtId="1" fontId="0" fillId="4" borderId="7" xfId="0" applyNumberFormat="1" applyFont="1" applyFill="1" applyBorder="1" applyAlignment="1">
      <alignment horizontal="center" vertical="center"/>
    </xf>
    <xf numFmtId="1" fontId="0" fillId="4" borderId="6" xfId="0" applyNumberFormat="1" applyFont="1" applyFill="1" applyBorder="1" applyAlignment="1">
      <alignment horizontal="center" vertical="center"/>
    </xf>
    <xf numFmtId="1" fontId="0" fillId="2" borderId="13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14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49" fontId="3" fillId="12" borderId="33" xfId="0" applyNumberFormat="1" applyFont="1" applyFill="1" applyBorder="1" applyAlignment="1">
      <alignment horizontal="center" vertical="center" wrapText="1"/>
    </xf>
    <xf numFmtId="49" fontId="3" fillId="12" borderId="34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2" fontId="17" fillId="12" borderId="22" xfId="0" applyNumberFormat="1" applyFont="1" applyFill="1" applyBorder="1" applyAlignment="1">
      <alignment horizontal="center" vertical="center" wrapText="1"/>
    </xf>
    <xf numFmtId="2" fontId="17" fillId="12" borderId="23" xfId="0" applyNumberFormat="1" applyFont="1" applyFill="1" applyBorder="1" applyAlignment="1">
      <alignment horizontal="center" vertical="center" wrapText="1"/>
    </xf>
    <xf numFmtId="2" fontId="17" fillId="12" borderId="25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49" fontId="13" fillId="14" borderId="0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0" fillId="5" borderId="0" xfId="0" applyFill="1" applyBorder="1"/>
    <xf numFmtId="0" fontId="13" fillId="14" borderId="0" xfId="0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 applyFill="1"/>
    <xf numFmtId="166" fontId="0" fillId="0" borderId="0" xfId="0" applyNumberFormat="1"/>
    <xf numFmtId="166" fontId="17" fillId="12" borderId="10" xfId="0" applyNumberFormat="1" applyFont="1" applyFill="1" applyBorder="1" applyAlignment="1">
      <alignment horizontal="center" vertical="center" wrapText="1"/>
    </xf>
    <xf numFmtId="166" fontId="17" fillId="12" borderId="11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5" borderId="0" xfId="0" applyNumberFormat="1" applyFont="1" applyFill="1" applyAlignment="1">
      <alignment horizontal="center" vertical="center" wrapText="1"/>
    </xf>
    <xf numFmtId="0" fontId="0" fillId="15" borderId="0" xfId="0" applyFill="1"/>
    <xf numFmtId="0" fontId="5" fillId="15" borderId="46" xfId="0" applyFont="1" applyFill="1" applyBorder="1" applyAlignment="1">
      <alignment horizontal="center" vertical="center" wrapText="1"/>
    </xf>
    <xf numFmtId="49" fontId="3" fillId="16" borderId="40" xfId="0" applyNumberFormat="1" applyFont="1" applyFill="1" applyBorder="1" applyAlignment="1">
      <alignment horizontal="center" vertical="center" wrapText="1"/>
    </xf>
    <xf numFmtId="49" fontId="3" fillId="16" borderId="36" xfId="0" applyNumberFormat="1" applyFont="1" applyFill="1" applyBorder="1" applyAlignment="1">
      <alignment horizontal="center" vertical="center" wrapText="1"/>
    </xf>
    <xf numFmtId="49" fontId="3" fillId="16" borderId="41" xfId="0" applyNumberFormat="1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49" fontId="6" fillId="9" borderId="32" xfId="0" applyNumberFormat="1" applyFont="1" applyFill="1" applyBorder="1" applyAlignment="1">
      <alignment horizontal="center" vertical="center"/>
    </xf>
    <xf numFmtId="49" fontId="6" fillId="9" borderId="33" xfId="0" applyNumberFormat="1" applyFont="1" applyFill="1" applyBorder="1" applyAlignment="1">
      <alignment horizontal="center" vertical="center"/>
    </xf>
    <xf numFmtId="49" fontId="6" fillId="9" borderId="34" xfId="0" applyNumberFormat="1" applyFont="1" applyFill="1" applyBorder="1" applyAlignment="1">
      <alignment horizontal="center" vertical="center"/>
    </xf>
    <xf numFmtId="49" fontId="6" fillId="10" borderId="37" xfId="0" applyNumberFormat="1" applyFont="1" applyFill="1" applyBorder="1" applyAlignment="1">
      <alignment horizontal="center" vertical="center" wrapText="1"/>
    </xf>
    <xf numFmtId="49" fontId="13" fillId="10" borderId="38" xfId="0" applyNumberFormat="1" applyFont="1" applyFill="1" applyBorder="1" applyAlignment="1">
      <alignment horizontal="center" vertical="center" wrapText="1"/>
    </xf>
    <xf numFmtId="49" fontId="13" fillId="10" borderId="39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 wrapText="1"/>
    </xf>
    <xf numFmtId="49" fontId="6" fillId="12" borderId="37" xfId="0" applyNumberFormat="1" applyFont="1" applyFill="1" applyBorder="1" applyAlignment="1">
      <alignment horizontal="center" vertical="center" wrapText="1"/>
    </xf>
    <xf numFmtId="49" fontId="6" fillId="12" borderId="38" xfId="0" applyNumberFormat="1" applyFont="1" applyFill="1" applyBorder="1" applyAlignment="1">
      <alignment horizontal="center" vertical="center" wrapText="1"/>
    </xf>
    <xf numFmtId="49" fontId="6" fillId="12" borderId="3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" fillId="12" borderId="28" xfId="0" applyNumberFormat="1" applyFont="1" applyFill="1" applyBorder="1" applyAlignment="1">
      <alignment horizontal="center" vertical="center" wrapText="1"/>
    </xf>
    <xf numFmtId="49" fontId="6" fillId="12" borderId="29" xfId="0" applyNumberFormat="1" applyFont="1" applyFill="1" applyBorder="1" applyAlignment="1">
      <alignment horizontal="center" vertical="center" wrapText="1"/>
    </xf>
    <xf numFmtId="49" fontId="6" fillId="12" borderId="30" xfId="0" applyNumberFormat="1" applyFont="1" applyFill="1" applyBorder="1" applyAlignment="1">
      <alignment horizontal="center" vertical="center" wrapText="1"/>
    </xf>
    <xf numFmtId="49" fontId="6" fillId="10" borderId="28" xfId="0" applyNumberFormat="1" applyFont="1" applyFill="1" applyBorder="1" applyAlignment="1">
      <alignment horizontal="center" vertical="center"/>
    </xf>
    <xf numFmtId="49" fontId="6" fillId="10" borderId="29" xfId="0" applyNumberFormat="1" applyFont="1" applyFill="1" applyBorder="1" applyAlignment="1">
      <alignment horizontal="center" vertical="center"/>
    </xf>
    <xf numFmtId="49" fontId="6" fillId="10" borderId="30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49" fontId="6" fillId="9" borderId="28" xfId="0" applyNumberFormat="1" applyFont="1" applyFill="1" applyBorder="1" applyAlignment="1">
      <alignment horizontal="center" vertical="center" wrapText="1"/>
    </xf>
    <xf numFmtId="49" fontId="6" fillId="9" borderId="29" xfId="0" applyNumberFormat="1" applyFont="1" applyFill="1" applyBorder="1" applyAlignment="1">
      <alignment horizontal="center" vertical="center" wrapText="1"/>
    </xf>
    <xf numFmtId="49" fontId="6" fillId="9" borderId="30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top" wrapText="1"/>
    </xf>
    <xf numFmtId="0" fontId="13" fillId="14" borderId="0" xfId="0" applyFont="1" applyFill="1" applyBorder="1" applyAlignment="1">
      <alignment horizontal="center" vertical="center"/>
    </xf>
    <xf numFmtId="0" fontId="0" fillId="5" borderId="0" xfId="0" applyFill="1"/>
  </cellXfs>
  <cellStyles count="3">
    <cellStyle name="Hyperlink" xfId="2" builtinId="8"/>
    <cellStyle name="Normal" xfId="0" builtinId="0"/>
    <cellStyle name="Style3" xfId="1" xr:uid="{00000000-0005-0000-0000-000001000000}"/>
  </cellStyles>
  <dxfs count="0"/>
  <tableStyles count="1" defaultTableStyle="TableStyleMedium2" defaultPivotStyle="PivotStyleLight16">
    <tableStyle name="Invisible" pivot="0" table="0" count="0" xr9:uid="{0189BD39-D8FF-4EC0-B1B6-67573DDBB55E}"/>
  </tableStyles>
  <colors>
    <mruColors>
      <color rgb="FFF3DDFF"/>
      <color rgb="FFE5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 of Taser Use Incidents</a:t>
            </a:r>
          </a:p>
        </c:rich>
      </c:tx>
      <c:layout>
        <c:manualLayout>
          <c:xMode val="edge"/>
          <c:yMode val="edge"/>
          <c:x val="0.28449300087489071"/>
          <c:y val="2.0887728459530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190600522193215"/>
          <c:w val="0.90286351706036749"/>
          <c:h val="0.50760634033017416"/>
        </c:manualLayout>
      </c:layout>
      <c:lineChart>
        <c:grouping val="standard"/>
        <c:varyColors val="0"/>
        <c:ser>
          <c:idx val="0"/>
          <c:order val="0"/>
          <c:tx>
            <c:strRef>
              <c:f>Tables!$B$1</c:f>
              <c:strCache>
                <c:ptCount val="1"/>
                <c:pt idx="0">
                  <c:v>Total Taser Usages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Tables!$A$2:$A$25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Tables!$B$2:$B$25</c:f>
              <c:numCache>
                <c:formatCode>0</c:formatCode>
                <c:ptCount val="24"/>
                <c:pt idx="0">
                  <c:v>57</c:v>
                </c:pt>
                <c:pt idx="1">
                  <c:v>59</c:v>
                </c:pt>
                <c:pt idx="2">
                  <c:v>36</c:v>
                </c:pt>
                <c:pt idx="3">
                  <c:v>42</c:v>
                </c:pt>
                <c:pt idx="4">
                  <c:v>41</c:v>
                </c:pt>
                <c:pt idx="5">
                  <c:v>73</c:v>
                </c:pt>
                <c:pt idx="6">
                  <c:v>68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60</c:v>
                </c:pt>
                <c:pt idx="11">
                  <c:v>72</c:v>
                </c:pt>
                <c:pt idx="12">
                  <c:v>60</c:v>
                </c:pt>
                <c:pt idx="13">
                  <c:v>77</c:v>
                </c:pt>
                <c:pt idx="14">
                  <c:v>60</c:v>
                </c:pt>
                <c:pt idx="15">
                  <c:v>57</c:v>
                </c:pt>
                <c:pt idx="16">
                  <c:v>40</c:v>
                </c:pt>
                <c:pt idx="17">
                  <c:v>64</c:v>
                </c:pt>
                <c:pt idx="18">
                  <c:v>93</c:v>
                </c:pt>
                <c:pt idx="19">
                  <c:v>69</c:v>
                </c:pt>
                <c:pt idx="20">
                  <c:v>55</c:v>
                </c:pt>
                <c:pt idx="21">
                  <c:v>70</c:v>
                </c:pt>
                <c:pt idx="22">
                  <c:v>70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3-4D61-82C8-FA3EB3C92E56}"/>
            </c:ext>
          </c:extLst>
        </c:ser>
        <c:ser>
          <c:idx val="1"/>
          <c:order val="1"/>
          <c:tx>
            <c:strRef>
              <c:f>Tables!$C$1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Tables!$A$2:$A$25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Tables!$C$2:$C$25</c:f>
              <c:numCache>
                <c:formatCode>General</c:formatCode>
                <c:ptCount val="24"/>
                <c:pt idx="0">
                  <c:v>60.625</c:v>
                </c:pt>
                <c:pt idx="1">
                  <c:v>60.625</c:v>
                </c:pt>
                <c:pt idx="2">
                  <c:v>60.625</c:v>
                </c:pt>
                <c:pt idx="3">
                  <c:v>60.625</c:v>
                </c:pt>
                <c:pt idx="4">
                  <c:v>60.625</c:v>
                </c:pt>
                <c:pt idx="5">
                  <c:v>60.625</c:v>
                </c:pt>
                <c:pt idx="6">
                  <c:v>60.625</c:v>
                </c:pt>
                <c:pt idx="7">
                  <c:v>60.625</c:v>
                </c:pt>
                <c:pt idx="8">
                  <c:v>60.625</c:v>
                </c:pt>
                <c:pt idx="9">
                  <c:v>60.625</c:v>
                </c:pt>
                <c:pt idx="10">
                  <c:v>60.625</c:v>
                </c:pt>
                <c:pt idx="11">
                  <c:v>60.625</c:v>
                </c:pt>
                <c:pt idx="12">
                  <c:v>60.625</c:v>
                </c:pt>
                <c:pt idx="13">
                  <c:v>60.625</c:v>
                </c:pt>
                <c:pt idx="14">
                  <c:v>60.625</c:v>
                </c:pt>
                <c:pt idx="15">
                  <c:v>60.625</c:v>
                </c:pt>
                <c:pt idx="16">
                  <c:v>60.625</c:v>
                </c:pt>
                <c:pt idx="17">
                  <c:v>60.625</c:v>
                </c:pt>
                <c:pt idx="18">
                  <c:v>60.625</c:v>
                </c:pt>
                <c:pt idx="19">
                  <c:v>60.625</c:v>
                </c:pt>
                <c:pt idx="20">
                  <c:v>60.625</c:v>
                </c:pt>
                <c:pt idx="21">
                  <c:v>60.625</c:v>
                </c:pt>
                <c:pt idx="22">
                  <c:v>60.625</c:v>
                </c:pt>
                <c:pt idx="23">
                  <c:v>60.625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3-4D61-82C8-FA3EB3C92E56}"/>
            </c:ext>
          </c:extLst>
        </c:ser>
        <c:ser>
          <c:idx val="2"/>
          <c:order val="2"/>
          <c:tx>
            <c:strRef>
              <c:f>Tables!$D$1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Tables!$A$2:$A$25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Tables!$D$2:$D$25</c:f>
              <c:numCache>
                <c:formatCode>General</c:formatCode>
                <c:ptCount val="24"/>
                <c:pt idx="0">
                  <c:v>85.770538976820177</c:v>
                </c:pt>
                <c:pt idx="1">
                  <c:v>85.770538976820177</c:v>
                </c:pt>
                <c:pt idx="2">
                  <c:v>85.770538976820177</c:v>
                </c:pt>
                <c:pt idx="3">
                  <c:v>85.770538976820177</c:v>
                </c:pt>
                <c:pt idx="4">
                  <c:v>85.770538976820177</c:v>
                </c:pt>
                <c:pt idx="5">
                  <c:v>85.770538976820177</c:v>
                </c:pt>
                <c:pt idx="6">
                  <c:v>85.770538976820177</c:v>
                </c:pt>
                <c:pt idx="7">
                  <c:v>85.770538976820177</c:v>
                </c:pt>
                <c:pt idx="8">
                  <c:v>85.770538976820177</c:v>
                </c:pt>
                <c:pt idx="9">
                  <c:v>85.770538976820177</c:v>
                </c:pt>
                <c:pt idx="10">
                  <c:v>85.770538976820177</c:v>
                </c:pt>
                <c:pt idx="11">
                  <c:v>85.770538976820177</c:v>
                </c:pt>
                <c:pt idx="12">
                  <c:v>85.770538976820177</c:v>
                </c:pt>
                <c:pt idx="13">
                  <c:v>85.770538976820177</c:v>
                </c:pt>
                <c:pt idx="14">
                  <c:v>85.770538976820177</c:v>
                </c:pt>
                <c:pt idx="15">
                  <c:v>85.770538976820177</c:v>
                </c:pt>
                <c:pt idx="16">
                  <c:v>85.770538976820177</c:v>
                </c:pt>
                <c:pt idx="17">
                  <c:v>85.770538976820177</c:v>
                </c:pt>
                <c:pt idx="18">
                  <c:v>85.770538976820177</c:v>
                </c:pt>
                <c:pt idx="19">
                  <c:v>85.770538976820177</c:v>
                </c:pt>
                <c:pt idx="20">
                  <c:v>85.770538976820177</c:v>
                </c:pt>
                <c:pt idx="21">
                  <c:v>85.770538976820177</c:v>
                </c:pt>
                <c:pt idx="22">
                  <c:v>85.770538976820177</c:v>
                </c:pt>
                <c:pt idx="23">
                  <c:v>85.770538976820177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3-4D61-82C8-FA3EB3C92E56}"/>
            </c:ext>
          </c:extLst>
        </c:ser>
        <c:ser>
          <c:idx val="3"/>
          <c:order val="3"/>
          <c:tx>
            <c:strRef>
              <c:f>Tables!$E$1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Tables!$A$2:$A$25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Tables!$E$2:$E$25</c:f>
              <c:numCache>
                <c:formatCode>General</c:formatCode>
                <c:ptCount val="24"/>
                <c:pt idx="0">
                  <c:v>35.479461023179823</c:v>
                </c:pt>
                <c:pt idx="1">
                  <c:v>35.479461023179823</c:v>
                </c:pt>
                <c:pt idx="2">
                  <c:v>35.479461023179823</c:v>
                </c:pt>
                <c:pt idx="3">
                  <c:v>35.479461023179823</c:v>
                </c:pt>
                <c:pt idx="4">
                  <c:v>35.479461023179823</c:v>
                </c:pt>
                <c:pt idx="5">
                  <c:v>35.479461023179823</c:v>
                </c:pt>
                <c:pt idx="6">
                  <c:v>35.479461023179823</c:v>
                </c:pt>
                <c:pt idx="7">
                  <c:v>35.479461023179823</c:v>
                </c:pt>
                <c:pt idx="8">
                  <c:v>35.479461023179823</c:v>
                </c:pt>
                <c:pt idx="9">
                  <c:v>35.479461023179823</c:v>
                </c:pt>
                <c:pt idx="10">
                  <c:v>35.479461023179823</c:v>
                </c:pt>
                <c:pt idx="11">
                  <c:v>35.479461023179823</c:v>
                </c:pt>
                <c:pt idx="12">
                  <c:v>35.479461023179823</c:v>
                </c:pt>
                <c:pt idx="13">
                  <c:v>35.479461023179823</c:v>
                </c:pt>
                <c:pt idx="14">
                  <c:v>35.479461023179823</c:v>
                </c:pt>
                <c:pt idx="15">
                  <c:v>35.479461023179823</c:v>
                </c:pt>
                <c:pt idx="16">
                  <c:v>35.479461023179823</c:v>
                </c:pt>
                <c:pt idx="17">
                  <c:v>35.479461023179823</c:v>
                </c:pt>
                <c:pt idx="18">
                  <c:v>35.479461023179823</c:v>
                </c:pt>
                <c:pt idx="19">
                  <c:v>35.479461023179823</c:v>
                </c:pt>
                <c:pt idx="20">
                  <c:v>35.479461023179823</c:v>
                </c:pt>
                <c:pt idx="21">
                  <c:v>35.479461023179823</c:v>
                </c:pt>
                <c:pt idx="22">
                  <c:v>35.479461023179823</c:v>
                </c:pt>
                <c:pt idx="23">
                  <c:v>35.479461023179823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3-4D61-82C8-FA3EB3C9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341600"/>
        <c:axId val="226340288"/>
      </c:lineChart>
      <c:catAx>
        <c:axId val="22634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40288"/>
        <c:crosses val="autoZero"/>
        <c:auto val="1"/>
        <c:lblAlgn val="ctr"/>
        <c:lblOffset val="100"/>
        <c:noMultiLvlLbl val="0"/>
      </c:catAx>
      <c:valAx>
        <c:axId val="22634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4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 of Type of Taser Uses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Tables!$I$1</c:f>
              <c:strCache>
                <c:ptCount val="1"/>
                <c:pt idx="0">
                  <c:v>Drawn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Tables!$I$2:$I$25</c:f>
              <c:numCache>
                <c:formatCode>0</c:formatCode>
                <c:ptCount val="24"/>
                <c:pt idx="0">
                  <c:v>25</c:v>
                </c:pt>
                <c:pt idx="1">
                  <c:v>31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38</c:v>
                </c:pt>
                <c:pt idx="6">
                  <c:v>34</c:v>
                </c:pt>
                <c:pt idx="7">
                  <c:v>28</c:v>
                </c:pt>
                <c:pt idx="8">
                  <c:v>30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17</c:v>
                </c:pt>
                <c:pt idx="13">
                  <c:v>23</c:v>
                </c:pt>
                <c:pt idx="14">
                  <c:v>18</c:v>
                </c:pt>
                <c:pt idx="15">
                  <c:v>15</c:v>
                </c:pt>
                <c:pt idx="16">
                  <c:v>13</c:v>
                </c:pt>
                <c:pt idx="17">
                  <c:v>22</c:v>
                </c:pt>
                <c:pt idx="18">
                  <c:v>32</c:v>
                </c:pt>
                <c:pt idx="19">
                  <c:v>19</c:v>
                </c:pt>
                <c:pt idx="20">
                  <c:v>12</c:v>
                </c:pt>
                <c:pt idx="21">
                  <c:v>12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F-453D-BDFC-E682F9F2F0C7}"/>
            </c:ext>
          </c:extLst>
        </c:ser>
        <c:ser>
          <c:idx val="1"/>
          <c:order val="1"/>
          <c:tx>
            <c:strRef>
              <c:f>Tables!$J$1</c:f>
              <c:strCache>
                <c:ptCount val="1"/>
                <c:pt idx="0">
                  <c:v>Aimed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Tables!$J$2:$J$25</c:f>
              <c:numCache>
                <c:formatCode>0</c:formatCode>
                <c:ptCount val="24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17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F-453D-BDFC-E682F9F2F0C7}"/>
            </c:ext>
          </c:extLst>
        </c:ser>
        <c:ser>
          <c:idx val="2"/>
          <c:order val="2"/>
          <c:tx>
            <c:strRef>
              <c:f>Tables!$K$1</c:f>
              <c:strCache>
                <c:ptCount val="1"/>
                <c:pt idx="0">
                  <c:v>Red Dot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Tables!$K$2:$K$25</c:f>
              <c:numCache>
                <c:formatCode>0</c:formatCode>
                <c:ptCount val="24"/>
                <c:pt idx="0">
                  <c:v>35</c:v>
                </c:pt>
                <c:pt idx="1">
                  <c:v>31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67</c:v>
                </c:pt>
                <c:pt idx="6">
                  <c:v>57</c:v>
                </c:pt>
                <c:pt idx="7">
                  <c:v>31</c:v>
                </c:pt>
                <c:pt idx="8">
                  <c:v>26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37</c:v>
                </c:pt>
                <c:pt idx="14">
                  <c:v>32</c:v>
                </c:pt>
                <c:pt idx="15">
                  <c:v>29</c:v>
                </c:pt>
                <c:pt idx="16">
                  <c:v>19</c:v>
                </c:pt>
                <c:pt idx="17">
                  <c:v>26</c:v>
                </c:pt>
                <c:pt idx="18">
                  <c:v>44</c:v>
                </c:pt>
                <c:pt idx="19">
                  <c:v>33</c:v>
                </c:pt>
                <c:pt idx="20">
                  <c:v>42</c:v>
                </c:pt>
                <c:pt idx="21">
                  <c:v>44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F-453D-BDFC-E682F9F2F0C7}"/>
            </c:ext>
          </c:extLst>
        </c:ser>
        <c:ser>
          <c:idx val="3"/>
          <c:order val="3"/>
          <c:tx>
            <c:strRef>
              <c:f>Tables!$L$1</c:f>
              <c:strCache>
                <c:ptCount val="1"/>
                <c:pt idx="0">
                  <c:v>Arced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Tables!$L$2:$L$25</c:f>
              <c:numCache>
                <c:formatCode>0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F-453D-BDFC-E682F9F2F0C7}"/>
            </c:ext>
          </c:extLst>
        </c:ser>
        <c:ser>
          <c:idx val="4"/>
          <c:order val="4"/>
          <c:tx>
            <c:strRef>
              <c:f>Tables!$M$1</c:f>
              <c:strCache>
                <c:ptCount val="1"/>
                <c:pt idx="0">
                  <c:v>Fired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Tables!$M$2:$M$25</c:f>
              <c:numCache>
                <c:formatCode>0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13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F-453D-BDFC-E682F9F2F0C7}"/>
            </c:ext>
          </c:extLst>
        </c:ser>
        <c:ser>
          <c:idx val="5"/>
          <c:order val="5"/>
          <c:tx>
            <c:strRef>
              <c:f>Tables!$N$1</c:f>
              <c:strCache>
                <c:ptCount val="1"/>
                <c:pt idx="0">
                  <c:v>Drive Stun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Tables!$H$2:$H$25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Tables!$N$2:$N$25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4F-453D-BDFC-E682F9F2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26341272"/>
        <c:axId val="226346520"/>
      </c:barChart>
      <c:catAx>
        <c:axId val="22634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46520"/>
        <c:crosses val="autoZero"/>
        <c:auto val="1"/>
        <c:lblAlgn val="ctr"/>
        <c:lblOffset val="100"/>
        <c:noMultiLvlLbl val="0"/>
      </c:catAx>
      <c:valAx>
        <c:axId val="22634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4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 of Taser Use by Subject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Tables!$Q$1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Tables!$P$2:$P$25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Tables!$Q$2:$Q$25</c:f>
              <c:numCache>
                <c:formatCode>@</c:formatCode>
                <c:ptCount val="24"/>
                <c:pt idx="0">
                  <c:v>49</c:v>
                </c:pt>
                <c:pt idx="1">
                  <c:v>52</c:v>
                </c:pt>
                <c:pt idx="2">
                  <c:v>31</c:v>
                </c:pt>
                <c:pt idx="3">
                  <c:v>41</c:v>
                </c:pt>
                <c:pt idx="4">
                  <c:v>36</c:v>
                </c:pt>
                <c:pt idx="5">
                  <c:v>64</c:v>
                </c:pt>
                <c:pt idx="6">
                  <c:v>57</c:v>
                </c:pt>
                <c:pt idx="7">
                  <c:v>55</c:v>
                </c:pt>
                <c:pt idx="8">
                  <c:v>54</c:v>
                </c:pt>
                <c:pt idx="9">
                  <c:v>51</c:v>
                </c:pt>
                <c:pt idx="10">
                  <c:v>56</c:v>
                </c:pt>
                <c:pt idx="11">
                  <c:v>62</c:v>
                </c:pt>
                <c:pt idx="12">
                  <c:v>60</c:v>
                </c:pt>
                <c:pt idx="13">
                  <c:v>69</c:v>
                </c:pt>
                <c:pt idx="14">
                  <c:v>50</c:v>
                </c:pt>
                <c:pt idx="15">
                  <c:v>50</c:v>
                </c:pt>
                <c:pt idx="16">
                  <c:v>34</c:v>
                </c:pt>
                <c:pt idx="17">
                  <c:v>57</c:v>
                </c:pt>
                <c:pt idx="18">
                  <c:v>84</c:v>
                </c:pt>
                <c:pt idx="19">
                  <c:v>60</c:v>
                </c:pt>
                <c:pt idx="20">
                  <c:v>50</c:v>
                </c:pt>
                <c:pt idx="21">
                  <c:v>61</c:v>
                </c:pt>
                <c:pt idx="22">
                  <c:v>62</c:v>
                </c:pt>
                <c:pt idx="2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B2E-85FF-508A927A412A}"/>
            </c:ext>
          </c:extLst>
        </c:ser>
        <c:ser>
          <c:idx val="1"/>
          <c:order val="1"/>
          <c:tx>
            <c:strRef>
              <c:f>Tables!$R$1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Tables!$P$2:$P$25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Tables!$R$2:$R$25</c:f>
              <c:numCache>
                <c:formatCode>@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10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0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6-4B2E-85FF-508A927A412A}"/>
            </c:ext>
          </c:extLst>
        </c:ser>
        <c:ser>
          <c:idx val="2"/>
          <c:order val="2"/>
          <c:tx>
            <c:strRef>
              <c:f>Tables!$S$1</c:f>
              <c:strCache>
                <c:ptCount val="1"/>
                <c:pt idx="0">
                  <c:v>Other / Unknown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Tables!$P$2:$P$25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Tables!$S$2:$S$25</c:f>
              <c:numCache>
                <c:formatCode>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6-4B2E-85FF-508A927A4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22394112"/>
        <c:axId val="1022394440"/>
      </c:barChart>
      <c:catAx>
        <c:axId val="10223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394440"/>
        <c:crosses val="autoZero"/>
        <c:auto val="1"/>
        <c:lblAlgn val="ctr"/>
        <c:lblOffset val="100"/>
        <c:noMultiLvlLbl val="0"/>
      </c:catAx>
      <c:valAx>
        <c:axId val="102239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3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 of Taser Use by Subject Age</a:t>
            </a:r>
          </a:p>
        </c:rich>
      </c:tx>
      <c:layout>
        <c:manualLayout>
          <c:xMode val="edge"/>
          <c:yMode val="edge"/>
          <c:x val="0.22338188976377951"/>
          <c:y val="2.0887728459530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712793733681465"/>
          <c:w val="0.90286351706036749"/>
          <c:h val="0.50238440821529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Tables!$V$1</c:f>
              <c:strCache>
                <c:ptCount val="1"/>
                <c:pt idx="0">
                  <c:v>Under 18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Tables!$U$2:$U$25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Tables!$V$2:$V$25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13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D-4C52-B7E0-C78A9E63A8D2}"/>
            </c:ext>
          </c:extLst>
        </c:ser>
        <c:ser>
          <c:idx val="1"/>
          <c:order val="1"/>
          <c:tx>
            <c:strRef>
              <c:f>Tables!$W$1</c:f>
              <c:strCache>
                <c:ptCount val="1"/>
                <c:pt idx="0">
                  <c:v>18 - 30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Tables!$U$2:$U$25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Tables!$W$2:$W$25</c:f>
              <c:numCache>
                <c:formatCode>General</c:formatCode>
                <c:ptCount val="24"/>
                <c:pt idx="0">
                  <c:v>32</c:v>
                </c:pt>
                <c:pt idx="1">
                  <c:v>18</c:v>
                </c:pt>
                <c:pt idx="2">
                  <c:v>17</c:v>
                </c:pt>
                <c:pt idx="3">
                  <c:v>24</c:v>
                </c:pt>
                <c:pt idx="4">
                  <c:v>13</c:v>
                </c:pt>
                <c:pt idx="5">
                  <c:v>33</c:v>
                </c:pt>
                <c:pt idx="6">
                  <c:v>24</c:v>
                </c:pt>
                <c:pt idx="7">
                  <c:v>24</c:v>
                </c:pt>
                <c:pt idx="8">
                  <c:v>29</c:v>
                </c:pt>
                <c:pt idx="9">
                  <c:v>27</c:v>
                </c:pt>
                <c:pt idx="10">
                  <c:v>20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24</c:v>
                </c:pt>
                <c:pt idx="16">
                  <c:v>15</c:v>
                </c:pt>
                <c:pt idx="17">
                  <c:v>25</c:v>
                </c:pt>
                <c:pt idx="18">
                  <c:v>36</c:v>
                </c:pt>
                <c:pt idx="19">
                  <c:v>23</c:v>
                </c:pt>
                <c:pt idx="20">
                  <c:v>33</c:v>
                </c:pt>
                <c:pt idx="21">
                  <c:v>30</c:v>
                </c:pt>
                <c:pt idx="22">
                  <c:v>29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D-4C52-B7E0-C78A9E63A8D2}"/>
            </c:ext>
          </c:extLst>
        </c:ser>
        <c:ser>
          <c:idx val="2"/>
          <c:order val="2"/>
          <c:tx>
            <c:strRef>
              <c:f>Tables!$X$1</c:f>
              <c:strCache>
                <c:ptCount val="1"/>
                <c:pt idx="0">
                  <c:v>31 - 64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Tables!$U$2:$U$25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Tables!$X$2:$X$25</c:f>
              <c:numCache>
                <c:formatCode>General</c:formatCode>
                <c:ptCount val="24"/>
                <c:pt idx="0">
                  <c:v>24</c:v>
                </c:pt>
                <c:pt idx="1">
                  <c:v>38</c:v>
                </c:pt>
                <c:pt idx="2">
                  <c:v>13</c:v>
                </c:pt>
                <c:pt idx="3">
                  <c:v>15</c:v>
                </c:pt>
                <c:pt idx="4">
                  <c:v>25</c:v>
                </c:pt>
                <c:pt idx="5">
                  <c:v>28</c:v>
                </c:pt>
                <c:pt idx="6">
                  <c:v>39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30</c:v>
                </c:pt>
                <c:pt idx="11">
                  <c:v>32</c:v>
                </c:pt>
                <c:pt idx="12">
                  <c:v>28</c:v>
                </c:pt>
                <c:pt idx="13">
                  <c:v>35</c:v>
                </c:pt>
                <c:pt idx="14">
                  <c:v>31</c:v>
                </c:pt>
                <c:pt idx="15">
                  <c:v>25</c:v>
                </c:pt>
                <c:pt idx="16">
                  <c:v>20</c:v>
                </c:pt>
                <c:pt idx="17">
                  <c:v>29</c:v>
                </c:pt>
                <c:pt idx="18">
                  <c:v>50</c:v>
                </c:pt>
                <c:pt idx="19">
                  <c:v>31</c:v>
                </c:pt>
                <c:pt idx="20">
                  <c:v>14</c:v>
                </c:pt>
                <c:pt idx="21">
                  <c:v>30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D-4C52-B7E0-C78A9E63A8D2}"/>
            </c:ext>
          </c:extLst>
        </c:ser>
        <c:ser>
          <c:idx val="3"/>
          <c:order val="3"/>
          <c:tx>
            <c:strRef>
              <c:f>Tables!$Y$1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Tables!$U$2:$U$25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Tables!$Y$2:$Y$25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D-4C52-B7E0-C78A9E63A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81005928"/>
        <c:axId val="981002320"/>
      </c:barChart>
      <c:catAx>
        <c:axId val="98100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02320"/>
        <c:crosses val="autoZero"/>
        <c:auto val="1"/>
        <c:lblAlgn val="ctr"/>
        <c:lblOffset val="100"/>
        <c:noMultiLvlLbl val="0"/>
      </c:catAx>
      <c:valAx>
        <c:axId val="98100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0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 of Taser Use by Subject 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Tables!$AC$1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Tables!$AB$2:$AB$25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Tables!$AC$2:$AC$25</c:f>
              <c:numCache>
                <c:formatCode>General</c:formatCode>
                <c:ptCount val="24"/>
                <c:pt idx="0">
                  <c:v>48</c:v>
                </c:pt>
                <c:pt idx="1">
                  <c:v>49</c:v>
                </c:pt>
                <c:pt idx="2">
                  <c:v>29</c:v>
                </c:pt>
                <c:pt idx="3">
                  <c:v>31</c:v>
                </c:pt>
                <c:pt idx="4">
                  <c:v>38</c:v>
                </c:pt>
                <c:pt idx="5">
                  <c:v>61</c:v>
                </c:pt>
                <c:pt idx="6">
                  <c:v>55</c:v>
                </c:pt>
                <c:pt idx="7">
                  <c:v>40</c:v>
                </c:pt>
                <c:pt idx="8">
                  <c:v>50</c:v>
                </c:pt>
                <c:pt idx="9">
                  <c:v>41</c:v>
                </c:pt>
                <c:pt idx="10">
                  <c:v>48</c:v>
                </c:pt>
                <c:pt idx="11">
                  <c:v>49</c:v>
                </c:pt>
                <c:pt idx="12">
                  <c:v>41</c:v>
                </c:pt>
                <c:pt idx="13">
                  <c:v>51</c:v>
                </c:pt>
                <c:pt idx="14">
                  <c:v>50</c:v>
                </c:pt>
                <c:pt idx="15">
                  <c:v>45</c:v>
                </c:pt>
                <c:pt idx="16">
                  <c:v>34</c:v>
                </c:pt>
                <c:pt idx="17">
                  <c:v>40</c:v>
                </c:pt>
                <c:pt idx="18">
                  <c:v>77</c:v>
                </c:pt>
                <c:pt idx="19">
                  <c:v>49</c:v>
                </c:pt>
                <c:pt idx="20">
                  <c:v>47</c:v>
                </c:pt>
                <c:pt idx="21">
                  <c:v>48</c:v>
                </c:pt>
                <c:pt idx="22">
                  <c:v>55</c:v>
                </c:pt>
                <c:pt idx="2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E-4A6C-972B-99A19E36DAB8}"/>
            </c:ext>
          </c:extLst>
        </c:ser>
        <c:ser>
          <c:idx val="1"/>
          <c:order val="1"/>
          <c:tx>
            <c:strRef>
              <c:f>Tables!$AD$1</c:f>
              <c:strCache>
                <c:ptCount val="1"/>
                <c:pt idx="0">
                  <c:v>Mixed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Tables!$AB$2:$AB$25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Tables!$AD$2:$AD$25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E-4A6C-972B-99A19E36DAB8}"/>
            </c:ext>
          </c:extLst>
        </c:ser>
        <c:ser>
          <c:idx val="2"/>
          <c:order val="2"/>
          <c:tx>
            <c:strRef>
              <c:f>Tables!$AE$1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Tables!$AB$2:$AB$25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Tables!$AE$2:$AE$25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E-4A6C-972B-99A19E36DAB8}"/>
            </c:ext>
          </c:extLst>
        </c:ser>
        <c:ser>
          <c:idx val="3"/>
          <c:order val="3"/>
          <c:tx>
            <c:strRef>
              <c:f>Tables!$AF$1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Tables!$AB$2:$AB$25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Tables!$AF$2:$AF$25</c:f>
              <c:numCache>
                <c:formatCode>General</c:formatCode>
                <c:ptCount val="24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13</c:v>
                </c:pt>
                <c:pt idx="13">
                  <c:v>17</c:v>
                </c:pt>
                <c:pt idx="14">
                  <c:v>5</c:v>
                </c:pt>
                <c:pt idx="15">
                  <c:v>7</c:v>
                </c:pt>
                <c:pt idx="16">
                  <c:v>2</c:v>
                </c:pt>
                <c:pt idx="17">
                  <c:v>10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13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4E-4A6C-972B-99A19E36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91566192"/>
        <c:axId val="691561272"/>
      </c:barChart>
      <c:catAx>
        <c:axId val="69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561272"/>
        <c:crosses val="autoZero"/>
        <c:auto val="1"/>
        <c:lblAlgn val="ctr"/>
        <c:lblOffset val="100"/>
        <c:noMultiLvlLbl val="0"/>
      </c:catAx>
      <c:valAx>
        <c:axId val="69156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56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Taser Use by Subject Ethnicity - Rate per 1000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Tables!$AK$1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Tables!$AJ$2:$AJ$25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Tables!$AK$2:$AK$25</c:f>
              <c:numCache>
                <c:formatCode>0.00</c:formatCode>
                <c:ptCount val="24"/>
                <c:pt idx="0">
                  <c:v>7.5850713154725968E-2</c:v>
                </c:pt>
                <c:pt idx="1">
                  <c:v>7.7430936345449425E-2</c:v>
                </c:pt>
                <c:pt idx="2">
                  <c:v>4.5826472530980281E-2</c:v>
                </c:pt>
                <c:pt idx="3">
                  <c:v>4.8986918912427194E-2</c:v>
                </c:pt>
                <c:pt idx="4">
                  <c:v>6.0048481247491396E-2</c:v>
                </c:pt>
                <c:pt idx="5">
                  <c:v>9.6393614634130931E-2</c:v>
                </c:pt>
                <c:pt idx="6">
                  <c:v>8.6912275489790178E-2</c:v>
                </c:pt>
                <c:pt idx="7">
                  <c:v>6.3208927628938316E-2</c:v>
                </c:pt>
                <c:pt idx="8">
                  <c:v>7.9011159536172895E-2</c:v>
                </c:pt>
                <c:pt idx="9">
                  <c:v>6.4789150819661759E-2</c:v>
                </c:pt>
                <c:pt idx="10">
                  <c:v>7.5850713154725968E-2</c:v>
                </c:pt>
                <c:pt idx="11">
                  <c:v>7.7430936345449425E-2</c:v>
                </c:pt>
                <c:pt idx="12">
                  <c:v>6.4789150819661759E-2</c:v>
                </c:pt>
                <c:pt idx="13">
                  <c:v>8.0591382726896352E-2</c:v>
                </c:pt>
                <c:pt idx="14">
                  <c:v>7.9011159536172895E-2</c:v>
                </c:pt>
                <c:pt idx="15">
                  <c:v>7.1110043582555599E-2</c:v>
                </c:pt>
                <c:pt idx="16">
                  <c:v>5.3727588484597563E-2</c:v>
                </c:pt>
                <c:pt idx="17">
                  <c:v>6.3208927628938316E-2</c:v>
                </c:pt>
                <c:pt idx="18">
                  <c:v>0.12167718568570625</c:v>
                </c:pt>
                <c:pt idx="19">
                  <c:v>7.7430936345449425E-2</c:v>
                </c:pt>
                <c:pt idx="20">
                  <c:v>7.4270489964002526E-2</c:v>
                </c:pt>
                <c:pt idx="21">
                  <c:v>7.5850713154725968E-2</c:v>
                </c:pt>
                <c:pt idx="22">
                  <c:v>8.6912275489790178E-2</c:v>
                </c:pt>
                <c:pt idx="23">
                  <c:v>7.5850713154725968E-2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F-4F97-A4A0-4EED00D96A95}"/>
            </c:ext>
          </c:extLst>
        </c:ser>
        <c:ser>
          <c:idx val="1"/>
          <c:order val="1"/>
          <c:tx>
            <c:strRef>
              <c:f>Tables!$AL$1</c:f>
              <c:strCache>
                <c:ptCount val="1"/>
                <c:pt idx="0">
                  <c:v>Mixed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Tables!$AJ$2:$AJ$25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Tables!$AL$2:$AL$25</c:f>
              <c:numCache>
                <c:formatCode>0.00</c:formatCode>
                <c:ptCount val="24"/>
                <c:pt idx="0">
                  <c:v>0.14102383302778171</c:v>
                </c:pt>
                <c:pt idx="1">
                  <c:v>7.0511916513890854E-2</c:v>
                </c:pt>
                <c:pt idx="2">
                  <c:v>7.0511916513890854E-2</c:v>
                </c:pt>
                <c:pt idx="3">
                  <c:v>7.0511916513890854E-2</c:v>
                </c:pt>
                <c:pt idx="4">
                  <c:v>0.14102383302778171</c:v>
                </c:pt>
                <c:pt idx="5">
                  <c:v>7.0511916513890854E-2</c:v>
                </c:pt>
                <c:pt idx="6">
                  <c:v>0.21153574954167254</c:v>
                </c:pt>
                <c:pt idx="7">
                  <c:v>0.35255958256945424</c:v>
                </c:pt>
                <c:pt idx="8">
                  <c:v>0</c:v>
                </c:pt>
                <c:pt idx="9">
                  <c:v>7.0511916513890854E-2</c:v>
                </c:pt>
                <c:pt idx="10">
                  <c:v>0.14102383302778171</c:v>
                </c:pt>
                <c:pt idx="11">
                  <c:v>0.28204766605556342</c:v>
                </c:pt>
                <c:pt idx="12">
                  <c:v>0.14102383302778171</c:v>
                </c:pt>
                <c:pt idx="13">
                  <c:v>0.21153574954167254</c:v>
                </c:pt>
                <c:pt idx="14">
                  <c:v>0.21153574954167254</c:v>
                </c:pt>
                <c:pt idx="15">
                  <c:v>0</c:v>
                </c:pt>
                <c:pt idx="16">
                  <c:v>0.14102383302778171</c:v>
                </c:pt>
                <c:pt idx="17">
                  <c:v>0.4935834155972359</c:v>
                </c:pt>
                <c:pt idx="18">
                  <c:v>0.14102383302778171</c:v>
                </c:pt>
                <c:pt idx="19">
                  <c:v>0.28204766605556342</c:v>
                </c:pt>
                <c:pt idx="20">
                  <c:v>7.0511916513890854E-2</c:v>
                </c:pt>
                <c:pt idx="21">
                  <c:v>0.35255958256945424</c:v>
                </c:pt>
                <c:pt idx="22">
                  <c:v>7.0511916513890854E-2</c:v>
                </c:pt>
                <c:pt idx="23">
                  <c:v>7.0511916513890854E-2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F-4F97-A4A0-4EED00D96A95}"/>
            </c:ext>
          </c:extLst>
        </c:ser>
        <c:ser>
          <c:idx val="2"/>
          <c:order val="2"/>
          <c:tx>
            <c:strRef>
              <c:f>Tables!$AM$1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Tables!$AJ$2:$AJ$25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Tables!$AM$2:$AM$25</c:f>
              <c:numCache>
                <c:formatCode>0.00</c:formatCode>
                <c:ptCount val="24"/>
                <c:pt idx="0">
                  <c:v>7.8656546191056748E-2</c:v>
                </c:pt>
                <c:pt idx="1">
                  <c:v>0</c:v>
                </c:pt>
                <c:pt idx="2">
                  <c:v>3.9328273095528374E-2</c:v>
                </c:pt>
                <c:pt idx="3">
                  <c:v>0</c:v>
                </c:pt>
                <c:pt idx="4">
                  <c:v>3.9328273095528374E-2</c:v>
                </c:pt>
                <c:pt idx="5">
                  <c:v>0.1573130923821135</c:v>
                </c:pt>
                <c:pt idx="6">
                  <c:v>3.9328273095528374E-2</c:v>
                </c:pt>
                <c:pt idx="7">
                  <c:v>3.9328273095528374E-2</c:v>
                </c:pt>
                <c:pt idx="8">
                  <c:v>0</c:v>
                </c:pt>
                <c:pt idx="9">
                  <c:v>3.9328273095528374E-2</c:v>
                </c:pt>
                <c:pt idx="10">
                  <c:v>7.8656546191056748E-2</c:v>
                </c:pt>
                <c:pt idx="11">
                  <c:v>0</c:v>
                </c:pt>
                <c:pt idx="12">
                  <c:v>3.9328273095528374E-2</c:v>
                </c:pt>
                <c:pt idx="13">
                  <c:v>0.11798481928658512</c:v>
                </c:pt>
                <c:pt idx="14">
                  <c:v>3.9328273095528374E-2</c:v>
                </c:pt>
                <c:pt idx="15">
                  <c:v>7.8656546191056748E-2</c:v>
                </c:pt>
                <c:pt idx="16">
                  <c:v>7.8656546191056748E-2</c:v>
                </c:pt>
                <c:pt idx="17">
                  <c:v>0.19664136547764188</c:v>
                </c:pt>
                <c:pt idx="18">
                  <c:v>0.1573130923821135</c:v>
                </c:pt>
                <c:pt idx="19">
                  <c:v>0.2752979116686986</c:v>
                </c:pt>
                <c:pt idx="20">
                  <c:v>0</c:v>
                </c:pt>
                <c:pt idx="21">
                  <c:v>3.9328273095528374E-2</c:v>
                </c:pt>
                <c:pt idx="22">
                  <c:v>3.9328273095528374E-2</c:v>
                </c:pt>
                <c:pt idx="23">
                  <c:v>3.9328273095528374E-2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F-4F97-A4A0-4EED00D96A95}"/>
            </c:ext>
          </c:extLst>
        </c:ser>
        <c:ser>
          <c:idx val="3"/>
          <c:order val="3"/>
          <c:tx>
            <c:strRef>
              <c:f>Tables!$AN$1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Tables!$AJ$2:$AJ$25</c:f>
              <c:strCache>
                <c:ptCount val="24"/>
                <c:pt idx="0">
                  <c:v>2020-07</c:v>
                </c:pt>
                <c:pt idx="1">
                  <c:v>2020-08</c:v>
                </c:pt>
                <c:pt idx="2">
                  <c:v>2020-09</c:v>
                </c:pt>
                <c:pt idx="3">
                  <c:v>2020-10</c:v>
                </c:pt>
                <c:pt idx="4">
                  <c:v>2020-11</c:v>
                </c:pt>
                <c:pt idx="5">
                  <c:v>2020-12</c:v>
                </c:pt>
                <c:pt idx="6">
                  <c:v>2021-01</c:v>
                </c:pt>
                <c:pt idx="7">
                  <c:v>2021-02</c:v>
                </c:pt>
                <c:pt idx="8">
                  <c:v>2021-03</c:v>
                </c:pt>
                <c:pt idx="9">
                  <c:v>2021-04</c:v>
                </c:pt>
                <c:pt idx="10">
                  <c:v>2021-05</c:v>
                </c:pt>
                <c:pt idx="11">
                  <c:v>2021-06</c:v>
                </c:pt>
                <c:pt idx="12">
                  <c:v>2021-07</c:v>
                </c:pt>
                <c:pt idx="13">
                  <c:v>2021-08</c:v>
                </c:pt>
                <c:pt idx="14">
                  <c:v>2021-09</c:v>
                </c:pt>
                <c:pt idx="15">
                  <c:v>2021-10</c:v>
                </c:pt>
                <c:pt idx="16">
                  <c:v>2021-11</c:v>
                </c:pt>
                <c:pt idx="17">
                  <c:v>2021-12</c:v>
                </c:pt>
                <c:pt idx="18">
                  <c:v>2022-01</c:v>
                </c:pt>
                <c:pt idx="19">
                  <c:v>2022-02</c:v>
                </c:pt>
                <c:pt idx="20">
                  <c:v>2022-03</c:v>
                </c:pt>
                <c:pt idx="21">
                  <c:v>2022-04</c:v>
                </c:pt>
                <c:pt idx="22">
                  <c:v>2022-05</c:v>
                </c:pt>
                <c:pt idx="23">
                  <c:v>2022-06</c:v>
                </c:pt>
              </c:strCache>
            </c:strRef>
          </c:cat>
          <c:val>
            <c:numRef>
              <c:f>Tables!$AN$2:$AN$25</c:f>
              <c:numCache>
                <c:formatCode>0.00</c:formatCode>
                <c:ptCount val="24"/>
                <c:pt idx="0">
                  <c:v>0.29545588843585652</c:v>
                </c:pt>
                <c:pt idx="1">
                  <c:v>0.41363824381019915</c:v>
                </c:pt>
                <c:pt idx="2">
                  <c:v>0.29545588843585652</c:v>
                </c:pt>
                <c:pt idx="3">
                  <c:v>0.41363824381019915</c:v>
                </c:pt>
                <c:pt idx="4">
                  <c:v>0</c:v>
                </c:pt>
                <c:pt idx="5">
                  <c:v>0.23636471074868523</c:v>
                </c:pt>
                <c:pt idx="6">
                  <c:v>0.41363824381019915</c:v>
                </c:pt>
                <c:pt idx="7">
                  <c:v>0.53182059918454172</c:v>
                </c:pt>
                <c:pt idx="8">
                  <c:v>0.35454706612302783</c:v>
                </c:pt>
                <c:pt idx="9">
                  <c:v>0.65000295455888446</c:v>
                </c:pt>
                <c:pt idx="10">
                  <c:v>0.35454706612302783</c:v>
                </c:pt>
                <c:pt idx="11">
                  <c:v>0.94545884299474092</c:v>
                </c:pt>
                <c:pt idx="12">
                  <c:v>0.76818530993322698</c:v>
                </c:pt>
                <c:pt idx="13">
                  <c:v>1.0045500206819122</c:v>
                </c:pt>
                <c:pt idx="14">
                  <c:v>0.29545588843585652</c:v>
                </c:pt>
                <c:pt idx="15">
                  <c:v>0.41363824381019915</c:v>
                </c:pt>
                <c:pt idx="16">
                  <c:v>0.11818235537434262</c:v>
                </c:pt>
                <c:pt idx="17">
                  <c:v>0.59091177687171303</c:v>
                </c:pt>
                <c:pt idx="18">
                  <c:v>0.41363824381019915</c:v>
                </c:pt>
                <c:pt idx="19">
                  <c:v>0.23636471074868523</c:v>
                </c:pt>
                <c:pt idx="20">
                  <c:v>0.29545588843585652</c:v>
                </c:pt>
                <c:pt idx="21">
                  <c:v>0.76818530993322698</c:v>
                </c:pt>
                <c:pt idx="22">
                  <c:v>0.76818530993322698</c:v>
                </c:pt>
                <c:pt idx="23">
                  <c:v>0.53182059918454172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F-4F97-A4A0-4EED00D9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626280"/>
        <c:axId val="776625952"/>
      </c:lineChart>
      <c:catAx>
        <c:axId val="77662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625952"/>
        <c:crosses val="autoZero"/>
        <c:auto val="1"/>
        <c:lblAlgn val="ctr"/>
        <c:lblOffset val="100"/>
        <c:noMultiLvlLbl val="0"/>
      </c:catAx>
      <c:valAx>
        <c:axId val="77662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62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1</xdr:col>
      <xdr:colOff>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10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806450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18</xdr:row>
      <xdr:rowOff>600075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6350</xdr:rowOff>
    </xdr:from>
    <xdr:to>
      <xdr:col>1</xdr:col>
      <xdr:colOff>0</xdr:colOff>
      <xdr:row>24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165100</xdr:colOff>
      <xdr:row>2</xdr:row>
      <xdr:rowOff>812800</xdr:rowOff>
    </xdr:from>
    <xdr:to>
      <xdr:col>7</xdr:col>
      <xdr:colOff>577227</xdr:colOff>
      <xdr:row>2</xdr:row>
      <xdr:rowOff>1474631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5400000" flipH="1">
          <a:off x="10746348" y="1877452"/>
          <a:ext cx="661831" cy="412127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240545</xdr:colOff>
      <xdr:row>4</xdr:row>
      <xdr:rowOff>76200</xdr:rowOff>
    </xdr:from>
    <xdr:to>
      <xdr:col>7</xdr:col>
      <xdr:colOff>467885</xdr:colOff>
      <xdr:row>4</xdr:row>
      <xdr:rowOff>330200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16200000" flipH="1">
          <a:off x="10657090" y="3661405"/>
          <a:ext cx="254000" cy="227340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236009</xdr:colOff>
      <xdr:row>5</xdr:row>
      <xdr:rowOff>106869</xdr:rowOff>
    </xdr:from>
    <xdr:to>
      <xdr:col>7</xdr:col>
      <xdr:colOff>468792</xdr:colOff>
      <xdr:row>5</xdr:row>
      <xdr:rowOff>362229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6200000" flipH="1">
          <a:off x="10658259" y="4089349"/>
          <a:ext cx="255360" cy="232783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216103</xdr:colOff>
      <xdr:row>6</xdr:row>
      <xdr:rowOff>122381</xdr:rowOff>
    </xdr:from>
    <xdr:to>
      <xdr:col>7</xdr:col>
      <xdr:colOff>485978</xdr:colOff>
      <xdr:row>6</xdr:row>
      <xdr:rowOff>349721</xdr:rowOff>
    </xdr:to>
    <xdr:sp macro="" textlink="">
      <xdr:nvSpPr>
        <xdr:cNvPr id="12" name="Right Arrow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8569246" flipH="1">
          <a:off x="10532411" y="4518535"/>
          <a:ext cx="269875" cy="227340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238958</xdr:colOff>
      <xdr:row>7</xdr:row>
      <xdr:rowOff>68262</xdr:rowOff>
    </xdr:from>
    <xdr:to>
      <xdr:col>7</xdr:col>
      <xdr:colOff>466298</xdr:colOff>
      <xdr:row>7</xdr:row>
      <xdr:rowOff>331787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 rot="5400000" flipH="1">
          <a:off x="10537173" y="4892817"/>
          <a:ext cx="263525" cy="227340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229067</xdr:colOff>
      <xdr:row>8</xdr:row>
      <xdr:rowOff>81329</xdr:rowOff>
    </xdr:from>
    <xdr:to>
      <xdr:col>7</xdr:col>
      <xdr:colOff>456407</xdr:colOff>
      <xdr:row>8</xdr:row>
      <xdr:rowOff>354379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6200000" flipH="1">
          <a:off x="10522520" y="5320953"/>
          <a:ext cx="273050" cy="227340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222452</xdr:colOff>
      <xdr:row>9</xdr:row>
      <xdr:rowOff>91118</xdr:rowOff>
    </xdr:from>
    <xdr:to>
      <xdr:col>7</xdr:col>
      <xdr:colOff>479627</xdr:colOff>
      <xdr:row>9</xdr:row>
      <xdr:rowOff>318458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 flipH="1">
          <a:off x="10493577" y="5869618"/>
          <a:ext cx="257175" cy="227340"/>
        </a:xfrm>
        <a:prstGeom prst="rightArrow">
          <a:avLst/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191154</xdr:colOff>
      <xdr:row>11</xdr:row>
      <xdr:rowOff>121762</xdr:rowOff>
    </xdr:from>
    <xdr:to>
      <xdr:col>7</xdr:col>
      <xdr:colOff>552481</xdr:colOff>
      <xdr:row>11</xdr:row>
      <xdr:rowOff>638078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6200000">
          <a:off x="10429968" y="6573679"/>
          <a:ext cx="516316" cy="361327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158474</xdr:colOff>
      <xdr:row>12</xdr:row>
      <xdr:rowOff>141026</xdr:rowOff>
    </xdr:from>
    <xdr:to>
      <xdr:col>7</xdr:col>
      <xdr:colOff>536130</xdr:colOff>
      <xdr:row>12</xdr:row>
      <xdr:rowOff>617275</xdr:rowOff>
    </xdr:to>
    <xdr:sp macro="" textlink="">
      <xdr:nvSpPr>
        <xdr:cNvPr id="17" name="Right Arrow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6200000">
          <a:off x="10542715" y="7356054"/>
          <a:ext cx="476249" cy="377656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177523</xdr:colOff>
      <xdr:row>18</xdr:row>
      <xdr:rowOff>125954</xdr:rowOff>
    </xdr:from>
    <xdr:to>
      <xdr:col>7</xdr:col>
      <xdr:colOff>436062</xdr:colOff>
      <xdr:row>18</xdr:row>
      <xdr:rowOff>468854</xdr:rowOff>
    </xdr:to>
    <xdr:sp macro="" textlink="">
      <xdr:nvSpPr>
        <xdr:cNvPr id="22" name="Right Arrow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 rot="16200000">
          <a:off x="10568881" y="11129211"/>
          <a:ext cx="342900" cy="258539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165589</xdr:colOff>
      <xdr:row>15</xdr:row>
      <xdr:rowOff>84261</xdr:rowOff>
    </xdr:from>
    <xdr:to>
      <xdr:col>7</xdr:col>
      <xdr:colOff>425943</xdr:colOff>
      <xdr:row>15</xdr:row>
      <xdr:rowOff>427161</xdr:rowOff>
    </xdr:to>
    <xdr:sp macro="" textlink="">
      <xdr:nvSpPr>
        <xdr:cNvPr id="26" name="Right Arrow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 rot="16200000">
          <a:off x="10557854" y="9254880"/>
          <a:ext cx="342900" cy="26035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171400</xdr:colOff>
      <xdr:row>16</xdr:row>
      <xdr:rowOff>105178</xdr:rowOff>
    </xdr:from>
    <xdr:to>
      <xdr:col>7</xdr:col>
      <xdr:colOff>440824</xdr:colOff>
      <xdr:row>16</xdr:row>
      <xdr:rowOff>448078</xdr:rowOff>
    </xdr:to>
    <xdr:sp macro="" textlink="">
      <xdr:nvSpPr>
        <xdr:cNvPr id="27" name="Right Arrow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 rot="18731418">
          <a:off x="10568200" y="9872070"/>
          <a:ext cx="342900" cy="26942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168764</xdr:colOff>
      <xdr:row>20</xdr:row>
      <xdr:rowOff>113567</xdr:rowOff>
    </xdr:from>
    <xdr:to>
      <xdr:col>7</xdr:col>
      <xdr:colOff>416418</xdr:colOff>
      <xdr:row>20</xdr:row>
      <xdr:rowOff>456467</xdr:rowOff>
    </xdr:to>
    <xdr:sp macro="" textlink="">
      <xdr:nvSpPr>
        <xdr:cNvPr id="29" name="Right Arrow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 rot="16048143">
          <a:off x="10437449" y="12089421"/>
          <a:ext cx="342900" cy="24765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179021</xdr:colOff>
      <xdr:row>21</xdr:row>
      <xdr:rowOff>121871</xdr:rowOff>
    </xdr:from>
    <xdr:to>
      <xdr:col>7</xdr:col>
      <xdr:colOff>445725</xdr:colOff>
      <xdr:row>21</xdr:row>
      <xdr:rowOff>464771</xdr:rowOff>
    </xdr:to>
    <xdr:sp macro="" textlink="">
      <xdr:nvSpPr>
        <xdr:cNvPr id="30" name="Right Arrow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 rot="16200000">
          <a:off x="10506077" y="12645046"/>
          <a:ext cx="342900" cy="26670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156064</xdr:colOff>
      <xdr:row>22</xdr:row>
      <xdr:rowOff>121872</xdr:rowOff>
    </xdr:from>
    <xdr:to>
      <xdr:col>7</xdr:col>
      <xdr:colOff>416418</xdr:colOff>
      <xdr:row>22</xdr:row>
      <xdr:rowOff>464772</xdr:rowOff>
    </xdr:to>
    <xdr:sp macro="" textlink="">
      <xdr:nvSpPr>
        <xdr:cNvPr id="31" name="Right Arrow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rot="16200000">
          <a:off x="10548329" y="13322299"/>
          <a:ext cx="342900" cy="26035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165589</xdr:colOff>
      <xdr:row>23</xdr:row>
      <xdr:rowOff>98913</xdr:rowOff>
    </xdr:from>
    <xdr:to>
      <xdr:col>7</xdr:col>
      <xdr:colOff>422768</xdr:colOff>
      <xdr:row>23</xdr:row>
      <xdr:rowOff>441813</xdr:rowOff>
    </xdr:to>
    <xdr:sp macro="" textlink="">
      <xdr:nvSpPr>
        <xdr:cNvPr id="32" name="Right Arrow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 rot="16200000">
          <a:off x="10556267" y="13916388"/>
          <a:ext cx="342900" cy="257179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133106</xdr:colOff>
      <xdr:row>24</xdr:row>
      <xdr:rowOff>113567</xdr:rowOff>
    </xdr:from>
    <xdr:to>
      <xdr:col>7</xdr:col>
      <xdr:colOff>393460</xdr:colOff>
      <xdr:row>24</xdr:row>
      <xdr:rowOff>456467</xdr:rowOff>
    </xdr:to>
    <xdr:sp macro="" textlink="">
      <xdr:nvSpPr>
        <xdr:cNvPr id="34" name="Right Arrow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 rot="16200000">
          <a:off x="10525371" y="14544917"/>
          <a:ext cx="342900" cy="26035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118453</xdr:colOff>
      <xdr:row>25</xdr:row>
      <xdr:rowOff>125046</xdr:rowOff>
    </xdr:from>
    <xdr:to>
      <xdr:col>7</xdr:col>
      <xdr:colOff>381982</xdr:colOff>
      <xdr:row>25</xdr:row>
      <xdr:rowOff>467946</xdr:rowOff>
    </xdr:to>
    <xdr:sp macro="" textlink="">
      <xdr:nvSpPr>
        <xdr:cNvPr id="35" name="Right Arrow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 rot="16200000">
          <a:off x="10512306" y="15170269"/>
          <a:ext cx="342900" cy="263529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103800</xdr:colOff>
      <xdr:row>26</xdr:row>
      <xdr:rowOff>116743</xdr:rowOff>
    </xdr:from>
    <xdr:to>
      <xdr:col>7</xdr:col>
      <xdr:colOff>367329</xdr:colOff>
      <xdr:row>26</xdr:row>
      <xdr:rowOff>459643</xdr:rowOff>
    </xdr:to>
    <xdr:sp macro="" textlink="">
      <xdr:nvSpPr>
        <xdr:cNvPr id="36" name="Right Arrow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 rot="16200000">
          <a:off x="10497653" y="15777428"/>
          <a:ext cx="342900" cy="263529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121627</xdr:colOff>
      <xdr:row>27</xdr:row>
      <xdr:rowOff>146050</xdr:rowOff>
    </xdr:from>
    <xdr:to>
      <xdr:col>7</xdr:col>
      <xdr:colOff>375631</xdr:colOff>
      <xdr:row>27</xdr:row>
      <xdr:rowOff>488950</xdr:rowOff>
    </xdr:to>
    <xdr:sp macro="" textlink="">
      <xdr:nvSpPr>
        <xdr:cNvPr id="37" name="Right Arrow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 rot="16200000">
          <a:off x="10510717" y="16426960"/>
          <a:ext cx="342900" cy="254004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1</xdr:col>
      <xdr:colOff>0</xdr:colOff>
      <xdr:row>27</xdr:row>
      <xdr:rowOff>575469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124679</xdr:colOff>
      <xdr:row>20</xdr:row>
      <xdr:rowOff>390647</xdr:rowOff>
    </xdr:from>
    <xdr:to>
      <xdr:col>19</xdr:col>
      <xdr:colOff>571164</xdr:colOff>
      <xdr:row>27</xdr:row>
      <xdr:rowOff>11069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8F56FD-F885-497B-B4D5-1E9B841F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43525" y="12270032"/>
          <a:ext cx="4754715" cy="3861629"/>
        </a:xfrm>
        <a:prstGeom prst="rect">
          <a:avLst/>
        </a:prstGeom>
      </xdr:spPr>
    </xdr:pic>
    <xdr:clientData/>
  </xdr:twoCellAnchor>
  <xdr:twoCellAnchor>
    <xdr:from>
      <xdr:col>7</xdr:col>
      <xdr:colOff>165589</xdr:colOff>
      <xdr:row>17</xdr:row>
      <xdr:rowOff>125046</xdr:rowOff>
    </xdr:from>
    <xdr:to>
      <xdr:col>7</xdr:col>
      <xdr:colOff>422768</xdr:colOff>
      <xdr:row>17</xdr:row>
      <xdr:rowOff>467946</xdr:rowOff>
    </xdr:to>
    <xdr:sp macro="" textlink="">
      <xdr:nvSpPr>
        <xdr:cNvPr id="41" name="Right Arrow 27">
          <a:extLst>
            <a:ext uri="{FF2B5EF4-FFF2-40B4-BE49-F238E27FC236}">
              <a16:creationId xmlns:a16="http://schemas.microsoft.com/office/drawing/2014/main" id="{E873D3CA-8C77-4699-941F-5931A35A7BA2}"/>
            </a:ext>
          </a:extLst>
        </xdr:cNvPr>
        <xdr:cNvSpPr/>
      </xdr:nvSpPr>
      <xdr:spPr>
        <a:xfrm rot="16200000">
          <a:off x="10556267" y="10528175"/>
          <a:ext cx="342900" cy="257179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157900</xdr:colOff>
      <xdr:row>13</xdr:row>
      <xdr:rowOff>207017</xdr:rowOff>
    </xdr:from>
    <xdr:to>
      <xdr:col>7</xdr:col>
      <xdr:colOff>624625</xdr:colOff>
      <xdr:row>13</xdr:row>
      <xdr:rowOff>584673</xdr:rowOff>
    </xdr:to>
    <xdr:sp macro="" textlink="">
      <xdr:nvSpPr>
        <xdr:cNvPr id="33" name="Right Arrow 16">
          <a:extLst>
            <a:ext uri="{FF2B5EF4-FFF2-40B4-BE49-F238E27FC236}">
              <a16:creationId xmlns:a16="http://schemas.microsoft.com/office/drawing/2014/main" id="{5BE68199-0D92-41A1-A593-E976D86B1AF8}"/>
            </a:ext>
          </a:extLst>
        </xdr:cNvPr>
        <xdr:cNvSpPr/>
      </xdr:nvSpPr>
      <xdr:spPr>
        <a:xfrm>
          <a:off x="10591438" y="8178709"/>
          <a:ext cx="466725" cy="377656"/>
        </a:xfrm>
        <a:prstGeom prst="rightArrow">
          <a:avLst>
            <a:gd name="adj1" fmla="val 50000"/>
            <a:gd name="adj2" fmla="val 46546"/>
          </a:avLst>
        </a:prstGeom>
        <a:solidFill>
          <a:srgbClr val="0070C0"/>
        </a:solidFill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rthants.intranet.police.uk/departments/corporateservices/performance/Pages/performance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3F15-C869-4AC2-93DB-83A479B6094B}">
  <sheetPr>
    <tabColor theme="5" tint="0.79998168889431442"/>
  </sheetPr>
  <dimension ref="B2:P10"/>
  <sheetViews>
    <sheetView workbookViewId="0">
      <selection activeCell="F32" sqref="F32"/>
    </sheetView>
  </sheetViews>
  <sheetFormatPr defaultRowHeight="14.6" x14ac:dyDescent="0.4"/>
  <sheetData>
    <row r="2" spans="2:16" x14ac:dyDescent="0.4">
      <c r="B2" s="36" t="s">
        <v>88</v>
      </c>
    </row>
    <row r="3" spans="2:16" x14ac:dyDescent="0.4">
      <c r="B3" s="36" t="s">
        <v>89</v>
      </c>
    </row>
    <row r="4" spans="2:16" ht="15" thickBot="1" x14ac:dyDescent="0.45">
      <c r="B4" s="36" t="s">
        <v>90</v>
      </c>
    </row>
    <row r="5" spans="2:16" ht="15" thickBot="1" x14ac:dyDescent="0.45">
      <c r="C5" s="236" t="s">
        <v>91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</row>
    <row r="6" spans="2:16" x14ac:dyDescent="0.4">
      <c r="B6" s="36" t="s">
        <v>92</v>
      </c>
    </row>
    <row r="7" spans="2:16" x14ac:dyDescent="0.4">
      <c r="B7" s="36" t="s">
        <v>93</v>
      </c>
    </row>
    <row r="8" spans="2:16" x14ac:dyDescent="0.4">
      <c r="B8" s="36" t="s">
        <v>94</v>
      </c>
    </row>
    <row r="9" spans="2:16" ht="15" thickBot="1" x14ac:dyDescent="0.45">
      <c r="B9" s="36" t="s">
        <v>95</v>
      </c>
      <c r="K9" s="37" t="s">
        <v>96</v>
      </c>
    </row>
    <row r="10" spans="2:16" ht="15" thickBot="1" x14ac:dyDescent="0.45">
      <c r="B10" s="36"/>
      <c r="C10" s="236" t="s">
        <v>97</v>
      </c>
      <c r="D10" s="237"/>
      <c r="E10" s="237"/>
      <c r="F10" s="237"/>
      <c r="G10" s="237"/>
      <c r="H10" s="237"/>
      <c r="I10" s="237"/>
      <c r="J10" s="237"/>
      <c r="K10" s="238"/>
    </row>
  </sheetData>
  <mergeCells count="2">
    <mergeCell ref="C5:P5"/>
    <mergeCell ref="C10:K10"/>
  </mergeCells>
  <hyperlinks>
    <hyperlink ref="K9" r:id="rId1" display="https://northants.intranet.police.uk/departments/corporateservices/performance/Pages/performance.aspx" xr:uid="{880D3053-01A6-4033-8F1C-D84185DB81B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5"/>
  <sheetViews>
    <sheetView zoomScale="71" zoomScaleNormal="70" workbookViewId="0">
      <selection activeCell="A21" sqref="A21:V44"/>
    </sheetView>
  </sheetViews>
  <sheetFormatPr defaultRowHeight="14.6" x14ac:dyDescent="0.4"/>
  <cols>
    <col min="1" max="1" width="10.84375" bestFit="1" customWidth="1"/>
    <col min="12" max="12" width="9.15234375" customWidth="1"/>
  </cols>
  <sheetData>
    <row r="1" spans="1:22" ht="15" thickBot="1" x14ac:dyDescent="0.45">
      <c r="B1" s="72"/>
      <c r="C1" s="245" t="s">
        <v>110</v>
      </c>
      <c r="D1" s="246"/>
      <c r="E1" s="246"/>
      <c r="F1" s="246"/>
      <c r="G1" s="246"/>
      <c r="H1" s="247"/>
      <c r="I1" s="239" t="s">
        <v>16</v>
      </c>
      <c r="J1" s="240"/>
      <c r="K1" s="241"/>
      <c r="L1" s="242" t="s">
        <v>17</v>
      </c>
      <c r="M1" s="243"/>
      <c r="N1" s="243"/>
      <c r="O1" s="243"/>
      <c r="P1" s="244"/>
      <c r="Q1" s="248" t="s">
        <v>18</v>
      </c>
      <c r="R1" s="249"/>
      <c r="S1" s="249"/>
      <c r="T1" s="249"/>
      <c r="U1" s="249"/>
      <c r="V1" s="250"/>
    </row>
    <row r="2" spans="1:22" s="9" customFormat="1" ht="35.15" thickBot="1" x14ac:dyDescent="0.45">
      <c r="A2" s="71" t="s">
        <v>98</v>
      </c>
      <c r="B2" s="70" t="s">
        <v>99</v>
      </c>
      <c r="C2" s="81" t="s">
        <v>6</v>
      </c>
      <c r="D2" s="74" t="s">
        <v>7</v>
      </c>
      <c r="E2" s="74" t="s">
        <v>8</v>
      </c>
      <c r="F2" s="74" t="s">
        <v>9</v>
      </c>
      <c r="G2" s="74" t="s">
        <v>23</v>
      </c>
      <c r="H2" s="82" t="s">
        <v>10</v>
      </c>
      <c r="I2" s="89" t="s">
        <v>0</v>
      </c>
      <c r="J2" s="75" t="s">
        <v>1</v>
      </c>
      <c r="K2" s="90" t="s">
        <v>55</v>
      </c>
      <c r="L2" s="91" t="s">
        <v>15</v>
      </c>
      <c r="M2" s="76" t="s">
        <v>2</v>
      </c>
      <c r="N2" s="76" t="s">
        <v>3</v>
      </c>
      <c r="O2" s="76" t="s">
        <v>4</v>
      </c>
      <c r="P2" s="92" t="s">
        <v>5</v>
      </c>
      <c r="Q2" s="96" t="s">
        <v>12</v>
      </c>
      <c r="R2" s="77" t="s">
        <v>11</v>
      </c>
      <c r="S2" s="77" t="s">
        <v>13</v>
      </c>
      <c r="T2" s="77" t="s">
        <v>14</v>
      </c>
      <c r="U2" s="77" t="s">
        <v>76</v>
      </c>
      <c r="V2" s="97" t="s">
        <v>5</v>
      </c>
    </row>
    <row r="3" spans="1:22" x14ac:dyDescent="0.4">
      <c r="A3" s="38" t="s">
        <v>42</v>
      </c>
      <c r="B3" s="78">
        <v>33</v>
      </c>
      <c r="C3" s="83">
        <v>20</v>
      </c>
      <c r="D3" s="5">
        <v>2</v>
      </c>
      <c r="E3" s="5">
        <v>21</v>
      </c>
      <c r="F3" s="5">
        <v>1</v>
      </c>
      <c r="G3" s="5">
        <v>0</v>
      </c>
      <c r="H3" s="84">
        <v>0</v>
      </c>
      <c r="I3" s="44">
        <v>28</v>
      </c>
      <c r="J3" s="45">
        <v>5</v>
      </c>
      <c r="K3" s="46">
        <v>0</v>
      </c>
      <c r="L3" s="55">
        <v>1</v>
      </c>
      <c r="M3" s="56">
        <v>15</v>
      </c>
      <c r="N3" s="56">
        <v>17</v>
      </c>
      <c r="O3" s="56">
        <v>0</v>
      </c>
      <c r="P3" s="93">
        <v>0</v>
      </c>
      <c r="Q3" s="62">
        <v>24</v>
      </c>
      <c r="R3" s="63">
        <v>5</v>
      </c>
      <c r="S3" s="63">
        <v>1</v>
      </c>
      <c r="T3" s="63">
        <v>2</v>
      </c>
      <c r="U3" s="63">
        <v>0</v>
      </c>
      <c r="V3" s="98">
        <v>1</v>
      </c>
    </row>
    <row r="4" spans="1:22" x14ac:dyDescent="0.4">
      <c r="A4" s="39" t="s">
        <v>41</v>
      </c>
      <c r="B4" s="78">
        <v>36</v>
      </c>
      <c r="C4" s="83">
        <v>16</v>
      </c>
      <c r="D4" s="5">
        <v>4</v>
      </c>
      <c r="E4" s="5">
        <v>24</v>
      </c>
      <c r="F4" s="5">
        <v>0</v>
      </c>
      <c r="G4" s="5">
        <v>0</v>
      </c>
      <c r="H4" s="84">
        <v>0</v>
      </c>
      <c r="I4" s="44">
        <v>33</v>
      </c>
      <c r="J4" s="45">
        <v>3</v>
      </c>
      <c r="K4" s="46">
        <v>0</v>
      </c>
      <c r="L4" s="55">
        <v>7</v>
      </c>
      <c r="M4" s="56">
        <v>13</v>
      </c>
      <c r="N4" s="56">
        <v>16</v>
      </c>
      <c r="O4" s="56">
        <v>0</v>
      </c>
      <c r="P4" s="93">
        <v>1</v>
      </c>
      <c r="Q4" s="62">
        <v>33</v>
      </c>
      <c r="R4" s="63">
        <v>0</v>
      </c>
      <c r="S4" s="63">
        <v>1</v>
      </c>
      <c r="T4" s="63">
        <v>2</v>
      </c>
      <c r="U4" s="63">
        <v>0</v>
      </c>
      <c r="V4" s="98">
        <v>0</v>
      </c>
    </row>
    <row r="5" spans="1:22" x14ac:dyDescent="0.4">
      <c r="A5" s="39" t="s">
        <v>40</v>
      </c>
      <c r="B5" s="78">
        <v>40</v>
      </c>
      <c r="C5" s="83">
        <v>19</v>
      </c>
      <c r="D5" s="5">
        <v>3</v>
      </c>
      <c r="E5" s="5">
        <v>22</v>
      </c>
      <c r="F5" s="5">
        <v>0</v>
      </c>
      <c r="G5" s="5">
        <v>4</v>
      </c>
      <c r="H5" s="84">
        <v>0</v>
      </c>
      <c r="I5" s="44">
        <v>37</v>
      </c>
      <c r="J5" s="45">
        <v>3</v>
      </c>
      <c r="K5" s="46">
        <v>0</v>
      </c>
      <c r="L5" s="55">
        <v>1</v>
      </c>
      <c r="M5" s="56">
        <v>20</v>
      </c>
      <c r="N5" s="56">
        <v>17</v>
      </c>
      <c r="O5" s="56">
        <v>0</v>
      </c>
      <c r="P5" s="93">
        <v>2</v>
      </c>
      <c r="Q5" s="62">
        <v>30</v>
      </c>
      <c r="R5" s="63">
        <v>0</v>
      </c>
      <c r="S5" s="63">
        <v>0</v>
      </c>
      <c r="T5" s="63">
        <v>5</v>
      </c>
      <c r="U5" s="63">
        <v>0</v>
      </c>
      <c r="V5" s="98">
        <v>5</v>
      </c>
    </row>
    <row r="6" spans="1:22" x14ac:dyDescent="0.4">
      <c r="A6" s="40" t="s">
        <v>39</v>
      </c>
      <c r="B6" s="78">
        <v>32</v>
      </c>
      <c r="C6" s="83">
        <v>20</v>
      </c>
      <c r="D6" s="5">
        <v>1</v>
      </c>
      <c r="E6" s="5">
        <v>18</v>
      </c>
      <c r="F6" s="5">
        <v>0</v>
      </c>
      <c r="G6" s="5">
        <v>1</v>
      </c>
      <c r="H6" s="84">
        <v>0</v>
      </c>
      <c r="I6" s="44">
        <v>28</v>
      </c>
      <c r="J6" s="45">
        <v>4</v>
      </c>
      <c r="K6" s="46">
        <v>0</v>
      </c>
      <c r="L6" s="55">
        <v>2</v>
      </c>
      <c r="M6" s="56">
        <v>13</v>
      </c>
      <c r="N6" s="56">
        <v>15</v>
      </c>
      <c r="O6" s="56">
        <v>1</v>
      </c>
      <c r="P6" s="93">
        <v>0</v>
      </c>
      <c r="Q6" s="62">
        <v>24</v>
      </c>
      <c r="R6" s="63">
        <v>3</v>
      </c>
      <c r="S6" s="63">
        <v>2</v>
      </c>
      <c r="T6" s="63">
        <v>3</v>
      </c>
      <c r="U6" s="63">
        <v>0</v>
      </c>
      <c r="V6" s="98">
        <v>0</v>
      </c>
    </row>
    <row r="7" spans="1:22" x14ac:dyDescent="0.4">
      <c r="A7" s="41" t="s">
        <v>38</v>
      </c>
      <c r="B7" s="78">
        <v>20</v>
      </c>
      <c r="C7" s="83">
        <v>11</v>
      </c>
      <c r="D7" s="5">
        <v>1</v>
      </c>
      <c r="E7" s="5">
        <v>14</v>
      </c>
      <c r="F7" s="5">
        <v>0</v>
      </c>
      <c r="G7" s="5">
        <v>1</v>
      </c>
      <c r="H7" s="84">
        <v>0</v>
      </c>
      <c r="I7" s="44">
        <v>19</v>
      </c>
      <c r="J7" s="45">
        <v>1</v>
      </c>
      <c r="K7" s="46">
        <v>0</v>
      </c>
      <c r="L7" s="55">
        <v>1</v>
      </c>
      <c r="M7" s="56">
        <v>12</v>
      </c>
      <c r="N7" s="56">
        <v>7</v>
      </c>
      <c r="O7" s="56">
        <v>0</v>
      </c>
      <c r="P7" s="93">
        <v>0</v>
      </c>
      <c r="Q7" s="62">
        <v>18</v>
      </c>
      <c r="R7" s="63">
        <v>1</v>
      </c>
      <c r="S7" s="63">
        <v>0</v>
      </c>
      <c r="T7" s="63">
        <v>1</v>
      </c>
      <c r="U7" s="63">
        <v>0</v>
      </c>
      <c r="V7" s="98">
        <v>0</v>
      </c>
    </row>
    <row r="8" spans="1:22" x14ac:dyDescent="0.4">
      <c r="A8" s="39" t="s">
        <v>37</v>
      </c>
      <c r="B8" s="78">
        <v>41</v>
      </c>
      <c r="C8" s="83">
        <v>21</v>
      </c>
      <c r="D8" s="5">
        <v>5</v>
      </c>
      <c r="E8" s="5">
        <v>25</v>
      </c>
      <c r="F8" s="5">
        <v>1</v>
      </c>
      <c r="G8" s="5">
        <v>4</v>
      </c>
      <c r="H8" s="84">
        <v>0</v>
      </c>
      <c r="I8" s="44">
        <v>33</v>
      </c>
      <c r="J8" s="45">
        <v>8</v>
      </c>
      <c r="K8" s="46">
        <v>0</v>
      </c>
      <c r="L8" s="55">
        <v>2</v>
      </c>
      <c r="M8" s="56">
        <v>24</v>
      </c>
      <c r="N8" s="56">
        <v>15</v>
      </c>
      <c r="O8" s="56">
        <v>0</v>
      </c>
      <c r="P8" s="93">
        <v>0</v>
      </c>
      <c r="Q8" s="62">
        <v>36</v>
      </c>
      <c r="R8" s="63">
        <v>0</v>
      </c>
      <c r="S8" s="63">
        <v>1</v>
      </c>
      <c r="T8" s="63">
        <v>3</v>
      </c>
      <c r="U8" s="63">
        <v>0</v>
      </c>
      <c r="V8" s="98">
        <v>1</v>
      </c>
    </row>
    <row r="9" spans="1:22" x14ac:dyDescent="0.4">
      <c r="A9" s="41" t="s">
        <v>36</v>
      </c>
      <c r="B9" s="78">
        <v>41</v>
      </c>
      <c r="C9" s="83">
        <v>23</v>
      </c>
      <c r="D9" s="5">
        <v>4</v>
      </c>
      <c r="E9" s="5">
        <v>22</v>
      </c>
      <c r="F9" s="5">
        <v>1</v>
      </c>
      <c r="G9" s="5">
        <v>3</v>
      </c>
      <c r="H9" s="84">
        <v>0</v>
      </c>
      <c r="I9" s="44">
        <v>35</v>
      </c>
      <c r="J9" s="45">
        <v>6</v>
      </c>
      <c r="K9" s="46">
        <v>0</v>
      </c>
      <c r="L9" s="55">
        <v>2</v>
      </c>
      <c r="M9" s="56">
        <v>23</v>
      </c>
      <c r="N9" s="56">
        <v>16</v>
      </c>
      <c r="O9" s="56">
        <v>0</v>
      </c>
      <c r="P9" s="93">
        <v>0</v>
      </c>
      <c r="Q9" s="62">
        <v>35</v>
      </c>
      <c r="R9" s="63">
        <v>0</v>
      </c>
      <c r="S9" s="63">
        <v>0</v>
      </c>
      <c r="T9" s="63">
        <v>6</v>
      </c>
      <c r="U9" s="63">
        <v>0</v>
      </c>
      <c r="V9" s="98">
        <v>0</v>
      </c>
    </row>
    <row r="10" spans="1:22" x14ac:dyDescent="0.4">
      <c r="A10" s="41" t="s">
        <v>35</v>
      </c>
      <c r="B10" s="78">
        <v>46</v>
      </c>
      <c r="C10" s="83">
        <v>17</v>
      </c>
      <c r="D10" s="5">
        <v>1</v>
      </c>
      <c r="E10" s="5">
        <v>33</v>
      </c>
      <c r="F10" s="5">
        <v>1</v>
      </c>
      <c r="G10" s="5">
        <v>6</v>
      </c>
      <c r="H10" s="84">
        <v>0</v>
      </c>
      <c r="I10" s="44">
        <v>40</v>
      </c>
      <c r="J10" s="45">
        <v>6</v>
      </c>
      <c r="K10" s="46">
        <v>0</v>
      </c>
      <c r="L10" s="55">
        <v>5</v>
      </c>
      <c r="M10" s="56">
        <v>20</v>
      </c>
      <c r="N10" s="56">
        <v>21</v>
      </c>
      <c r="O10" s="56">
        <v>0</v>
      </c>
      <c r="P10" s="93">
        <v>0</v>
      </c>
      <c r="Q10" s="62">
        <v>37</v>
      </c>
      <c r="R10" s="63">
        <v>2</v>
      </c>
      <c r="S10" s="63">
        <v>2</v>
      </c>
      <c r="T10" s="63">
        <v>5</v>
      </c>
      <c r="U10" s="63">
        <v>0</v>
      </c>
      <c r="V10" s="98">
        <v>0</v>
      </c>
    </row>
    <row r="11" spans="1:22" x14ac:dyDescent="0.4">
      <c r="A11" s="41" t="s">
        <v>34</v>
      </c>
      <c r="B11" s="78">
        <v>28</v>
      </c>
      <c r="C11" s="83">
        <v>8</v>
      </c>
      <c r="D11" s="5">
        <v>1</v>
      </c>
      <c r="E11" s="5">
        <v>17</v>
      </c>
      <c r="F11" s="5">
        <v>0</v>
      </c>
      <c r="G11" s="5">
        <v>4</v>
      </c>
      <c r="H11" s="84">
        <v>0</v>
      </c>
      <c r="I11" s="44">
        <v>28</v>
      </c>
      <c r="J11" s="45">
        <v>0</v>
      </c>
      <c r="K11" s="46">
        <v>0</v>
      </c>
      <c r="L11" s="55">
        <v>2</v>
      </c>
      <c r="M11" s="56">
        <v>8</v>
      </c>
      <c r="N11" s="56">
        <v>17</v>
      </c>
      <c r="O11" s="56">
        <v>0</v>
      </c>
      <c r="P11" s="93">
        <v>1</v>
      </c>
      <c r="Q11" s="62">
        <v>21</v>
      </c>
      <c r="R11" s="63">
        <v>4</v>
      </c>
      <c r="S11" s="63">
        <v>0</v>
      </c>
      <c r="T11" s="63">
        <v>3</v>
      </c>
      <c r="U11" s="63">
        <v>0</v>
      </c>
      <c r="V11" s="98">
        <v>0</v>
      </c>
    </row>
    <row r="12" spans="1:22" x14ac:dyDescent="0.4">
      <c r="A12" s="41" t="s">
        <v>33</v>
      </c>
      <c r="B12" s="78">
        <v>37</v>
      </c>
      <c r="C12" s="83">
        <v>13</v>
      </c>
      <c r="D12" s="5">
        <v>3</v>
      </c>
      <c r="E12" s="5">
        <v>28</v>
      </c>
      <c r="F12" s="5">
        <v>0</v>
      </c>
      <c r="G12" s="5">
        <v>1</v>
      </c>
      <c r="H12" s="84">
        <v>0</v>
      </c>
      <c r="I12" s="44">
        <v>35</v>
      </c>
      <c r="J12" s="45">
        <v>2</v>
      </c>
      <c r="K12" s="46">
        <v>0</v>
      </c>
      <c r="L12" s="55">
        <v>1</v>
      </c>
      <c r="M12" s="56">
        <v>18</v>
      </c>
      <c r="N12" s="56">
        <v>17</v>
      </c>
      <c r="O12" s="56">
        <v>1</v>
      </c>
      <c r="P12" s="93">
        <v>0</v>
      </c>
      <c r="Q12" s="62">
        <v>33</v>
      </c>
      <c r="R12" s="63">
        <v>0</v>
      </c>
      <c r="S12" s="63">
        <v>0</v>
      </c>
      <c r="T12" s="63">
        <v>4</v>
      </c>
      <c r="U12" s="63">
        <v>0</v>
      </c>
      <c r="V12" s="98">
        <v>0</v>
      </c>
    </row>
    <row r="13" spans="1:22" x14ac:dyDescent="0.4">
      <c r="A13" s="41" t="s">
        <v>32</v>
      </c>
      <c r="B13" s="78">
        <v>38</v>
      </c>
      <c r="C13" s="83">
        <v>20</v>
      </c>
      <c r="D13" s="5">
        <v>2</v>
      </c>
      <c r="E13" s="5">
        <v>21</v>
      </c>
      <c r="F13" s="5">
        <v>0</v>
      </c>
      <c r="G13" s="5">
        <v>4</v>
      </c>
      <c r="H13" s="84">
        <v>0</v>
      </c>
      <c r="I13" s="44">
        <v>35</v>
      </c>
      <c r="J13" s="45">
        <v>3</v>
      </c>
      <c r="K13" s="46">
        <v>0</v>
      </c>
      <c r="L13" s="55">
        <v>7</v>
      </c>
      <c r="M13" s="56">
        <v>10</v>
      </c>
      <c r="N13" s="56">
        <v>21</v>
      </c>
      <c r="O13" s="56">
        <v>0</v>
      </c>
      <c r="P13" s="93">
        <v>0</v>
      </c>
      <c r="Q13" s="62">
        <v>23</v>
      </c>
      <c r="R13" s="63">
        <v>2</v>
      </c>
      <c r="S13" s="63">
        <v>1</v>
      </c>
      <c r="T13" s="63">
        <v>5</v>
      </c>
      <c r="U13" s="63">
        <v>0</v>
      </c>
      <c r="V13" s="98">
        <v>7</v>
      </c>
    </row>
    <row r="14" spans="1:22" x14ac:dyDescent="0.4">
      <c r="A14" s="41" t="s">
        <v>31</v>
      </c>
      <c r="B14" s="78">
        <v>30</v>
      </c>
      <c r="C14" s="83">
        <v>10</v>
      </c>
      <c r="D14" s="5">
        <v>2</v>
      </c>
      <c r="E14" s="5">
        <v>20</v>
      </c>
      <c r="F14" s="5">
        <v>1</v>
      </c>
      <c r="G14" s="5">
        <v>2</v>
      </c>
      <c r="H14" s="84">
        <v>0</v>
      </c>
      <c r="I14" s="44">
        <v>28</v>
      </c>
      <c r="J14" s="45">
        <v>2</v>
      </c>
      <c r="K14" s="46">
        <v>0</v>
      </c>
      <c r="L14" s="55">
        <v>1</v>
      </c>
      <c r="M14" s="56">
        <v>13</v>
      </c>
      <c r="N14" s="56">
        <v>13</v>
      </c>
      <c r="O14" s="56">
        <v>2</v>
      </c>
      <c r="P14" s="93">
        <v>1</v>
      </c>
      <c r="Q14" s="62">
        <v>23</v>
      </c>
      <c r="R14" s="63">
        <v>3</v>
      </c>
      <c r="S14" s="63">
        <v>2</v>
      </c>
      <c r="T14" s="63">
        <v>1</v>
      </c>
      <c r="U14" s="63">
        <v>0</v>
      </c>
      <c r="V14" s="98">
        <v>1</v>
      </c>
    </row>
    <row r="15" spans="1:22" x14ac:dyDescent="0.4">
      <c r="A15" s="41" t="s">
        <v>30</v>
      </c>
      <c r="B15" s="78">
        <v>48</v>
      </c>
      <c r="C15" s="83">
        <v>17</v>
      </c>
      <c r="D15" s="5">
        <v>6</v>
      </c>
      <c r="E15" s="5">
        <v>34</v>
      </c>
      <c r="F15" s="5">
        <v>0</v>
      </c>
      <c r="G15" s="5">
        <v>3</v>
      </c>
      <c r="H15" s="84">
        <v>0</v>
      </c>
      <c r="I15" s="44">
        <v>41</v>
      </c>
      <c r="J15" s="45">
        <v>7</v>
      </c>
      <c r="K15" s="46">
        <v>0</v>
      </c>
      <c r="L15" s="55">
        <v>7</v>
      </c>
      <c r="M15" s="56">
        <v>20</v>
      </c>
      <c r="N15" s="56">
        <v>20</v>
      </c>
      <c r="O15" s="56">
        <v>1</v>
      </c>
      <c r="P15" s="93">
        <v>0</v>
      </c>
      <c r="Q15" s="62">
        <v>39</v>
      </c>
      <c r="R15" s="63">
        <v>1</v>
      </c>
      <c r="S15" s="63">
        <v>3</v>
      </c>
      <c r="T15" s="63">
        <v>4</v>
      </c>
      <c r="U15" s="63">
        <v>0</v>
      </c>
      <c r="V15" s="98">
        <v>1</v>
      </c>
    </row>
    <row r="16" spans="1:22" x14ac:dyDescent="0.4">
      <c r="A16" s="41" t="s">
        <v>29</v>
      </c>
      <c r="B16" s="78">
        <v>40</v>
      </c>
      <c r="C16" s="83">
        <v>24</v>
      </c>
      <c r="D16" s="5">
        <v>2</v>
      </c>
      <c r="E16" s="5">
        <v>19</v>
      </c>
      <c r="F16" s="5">
        <v>0</v>
      </c>
      <c r="G16" s="5">
        <v>2</v>
      </c>
      <c r="H16" s="84">
        <v>1</v>
      </c>
      <c r="I16" s="44">
        <v>35</v>
      </c>
      <c r="J16" s="45">
        <v>5</v>
      </c>
      <c r="K16" s="46">
        <v>0</v>
      </c>
      <c r="L16" s="55">
        <v>1</v>
      </c>
      <c r="M16" s="56">
        <v>16</v>
      </c>
      <c r="N16" s="56">
        <v>21</v>
      </c>
      <c r="O16" s="56">
        <v>1</v>
      </c>
      <c r="P16" s="93">
        <v>1</v>
      </c>
      <c r="Q16" s="62">
        <v>29</v>
      </c>
      <c r="R16" s="63">
        <v>2</v>
      </c>
      <c r="S16" s="63">
        <v>0</v>
      </c>
      <c r="T16" s="63">
        <v>8</v>
      </c>
      <c r="U16" s="63">
        <v>0</v>
      </c>
      <c r="V16" s="98">
        <v>1</v>
      </c>
    </row>
    <row r="17" spans="1:22" x14ac:dyDescent="0.4">
      <c r="A17" s="41" t="s">
        <v>28</v>
      </c>
      <c r="B17" s="78">
        <v>41</v>
      </c>
      <c r="C17" s="83">
        <v>26</v>
      </c>
      <c r="D17" s="5">
        <v>2</v>
      </c>
      <c r="E17" s="5">
        <v>14</v>
      </c>
      <c r="F17" s="5">
        <v>1</v>
      </c>
      <c r="G17" s="5">
        <v>3</v>
      </c>
      <c r="H17" s="84">
        <v>0</v>
      </c>
      <c r="I17" s="44">
        <v>35</v>
      </c>
      <c r="J17" s="45">
        <v>6</v>
      </c>
      <c r="K17" s="46">
        <v>0</v>
      </c>
      <c r="L17" s="55">
        <v>7</v>
      </c>
      <c r="M17" s="56">
        <v>19</v>
      </c>
      <c r="N17" s="56">
        <v>14</v>
      </c>
      <c r="O17" s="56">
        <v>1</v>
      </c>
      <c r="P17" s="93">
        <v>0</v>
      </c>
      <c r="Q17" s="62">
        <v>33</v>
      </c>
      <c r="R17" s="63">
        <v>4</v>
      </c>
      <c r="S17" s="63">
        <v>0</v>
      </c>
      <c r="T17" s="63">
        <v>3</v>
      </c>
      <c r="U17" s="63">
        <v>0</v>
      </c>
      <c r="V17" s="98">
        <v>1</v>
      </c>
    </row>
    <row r="18" spans="1:22" x14ac:dyDescent="0.4">
      <c r="A18" s="41" t="s">
        <v>27</v>
      </c>
      <c r="B18" s="78">
        <v>56</v>
      </c>
      <c r="C18" s="83">
        <v>25</v>
      </c>
      <c r="D18" s="5">
        <v>5</v>
      </c>
      <c r="E18" s="5">
        <v>38</v>
      </c>
      <c r="F18" s="5">
        <v>1</v>
      </c>
      <c r="G18" s="5">
        <v>6</v>
      </c>
      <c r="H18" s="84">
        <v>0</v>
      </c>
      <c r="I18" s="44">
        <v>51</v>
      </c>
      <c r="J18" s="45">
        <v>5</v>
      </c>
      <c r="K18" s="46">
        <v>0</v>
      </c>
      <c r="L18" s="55">
        <v>4</v>
      </c>
      <c r="M18" s="56">
        <v>24</v>
      </c>
      <c r="N18" s="56">
        <v>27</v>
      </c>
      <c r="O18" s="56">
        <v>1</v>
      </c>
      <c r="P18" s="93">
        <v>0</v>
      </c>
      <c r="Q18" s="62">
        <v>49</v>
      </c>
      <c r="R18" s="63">
        <v>2</v>
      </c>
      <c r="S18" s="63">
        <v>0</v>
      </c>
      <c r="T18" s="63">
        <v>5</v>
      </c>
      <c r="U18" s="63">
        <v>0</v>
      </c>
      <c r="V18" s="98">
        <v>0</v>
      </c>
    </row>
    <row r="19" spans="1:22" x14ac:dyDescent="0.4">
      <c r="A19" s="41" t="s">
        <v>26</v>
      </c>
      <c r="B19" s="78">
        <v>58</v>
      </c>
      <c r="C19" s="83">
        <v>31</v>
      </c>
      <c r="D19" s="5">
        <v>4</v>
      </c>
      <c r="E19" s="5">
        <v>36</v>
      </c>
      <c r="F19" s="5">
        <v>1</v>
      </c>
      <c r="G19" s="5">
        <v>2</v>
      </c>
      <c r="H19" s="84">
        <v>0</v>
      </c>
      <c r="I19" s="44">
        <v>52</v>
      </c>
      <c r="J19" s="45">
        <v>6</v>
      </c>
      <c r="K19" s="46">
        <v>0</v>
      </c>
      <c r="L19" s="55">
        <v>3</v>
      </c>
      <c r="M19" s="56">
        <v>31</v>
      </c>
      <c r="N19" s="56">
        <v>24</v>
      </c>
      <c r="O19" s="56">
        <v>0</v>
      </c>
      <c r="P19" s="93">
        <v>0</v>
      </c>
      <c r="Q19" s="62">
        <v>46</v>
      </c>
      <c r="R19" s="63">
        <v>1</v>
      </c>
      <c r="S19" s="63">
        <v>2</v>
      </c>
      <c r="T19" s="63">
        <v>6</v>
      </c>
      <c r="U19" s="63">
        <v>0</v>
      </c>
      <c r="V19" s="98">
        <v>3</v>
      </c>
    </row>
    <row r="20" spans="1:22" x14ac:dyDescent="0.4">
      <c r="A20" s="41" t="s">
        <v>25</v>
      </c>
      <c r="B20" s="78">
        <v>50</v>
      </c>
      <c r="C20" s="83">
        <v>27</v>
      </c>
      <c r="D20" s="5">
        <v>5</v>
      </c>
      <c r="E20" s="5">
        <v>23</v>
      </c>
      <c r="F20" s="5">
        <v>1</v>
      </c>
      <c r="G20" s="5">
        <v>5</v>
      </c>
      <c r="H20" s="84">
        <v>0</v>
      </c>
      <c r="I20" s="44">
        <v>43</v>
      </c>
      <c r="J20" s="45">
        <v>7</v>
      </c>
      <c r="K20" s="46">
        <v>0</v>
      </c>
      <c r="L20" s="55">
        <v>6</v>
      </c>
      <c r="M20" s="56">
        <v>15</v>
      </c>
      <c r="N20" s="56">
        <v>29</v>
      </c>
      <c r="O20" s="56">
        <v>0</v>
      </c>
      <c r="P20" s="93">
        <v>0</v>
      </c>
      <c r="Q20" s="62">
        <v>36</v>
      </c>
      <c r="R20" s="63">
        <v>6</v>
      </c>
      <c r="S20" s="63">
        <v>1</v>
      </c>
      <c r="T20" s="63">
        <v>4</v>
      </c>
      <c r="U20" s="63">
        <v>0</v>
      </c>
      <c r="V20" s="98">
        <v>3</v>
      </c>
    </row>
    <row r="21" spans="1:22" x14ac:dyDescent="0.4">
      <c r="A21" s="41" t="s">
        <v>43</v>
      </c>
      <c r="B21" s="79">
        <v>57</v>
      </c>
      <c r="C21" s="85">
        <v>25</v>
      </c>
      <c r="D21" s="4">
        <v>4</v>
      </c>
      <c r="E21" s="4">
        <v>35</v>
      </c>
      <c r="F21" s="4">
        <v>2</v>
      </c>
      <c r="G21" s="4">
        <v>4</v>
      </c>
      <c r="H21" s="86">
        <v>0</v>
      </c>
      <c r="I21" s="44">
        <v>49</v>
      </c>
      <c r="J21" s="45">
        <v>8</v>
      </c>
      <c r="K21" s="46">
        <v>0</v>
      </c>
      <c r="L21" s="55">
        <v>1</v>
      </c>
      <c r="M21" s="56">
        <v>32</v>
      </c>
      <c r="N21" s="56">
        <v>24</v>
      </c>
      <c r="O21" s="56">
        <v>0</v>
      </c>
      <c r="P21" s="93">
        <v>0</v>
      </c>
      <c r="Q21" s="62">
        <v>48</v>
      </c>
      <c r="R21" s="63">
        <v>2</v>
      </c>
      <c r="S21" s="63">
        <v>2</v>
      </c>
      <c r="T21" s="63">
        <v>5</v>
      </c>
      <c r="U21" s="63">
        <v>0</v>
      </c>
      <c r="V21" s="98">
        <v>0</v>
      </c>
    </row>
    <row r="22" spans="1:22" x14ac:dyDescent="0.4">
      <c r="A22" s="42" t="s">
        <v>44</v>
      </c>
      <c r="B22" s="79">
        <v>59</v>
      </c>
      <c r="C22" s="85">
        <v>31</v>
      </c>
      <c r="D22" s="4">
        <v>7</v>
      </c>
      <c r="E22" s="4">
        <v>31</v>
      </c>
      <c r="F22" s="4">
        <v>0</v>
      </c>
      <c r="G22" s="4">
        <v>5</v>
      </c>
      <c r="H22" s="86">
        <v>0</v>
      </c>
      <c r="I22" s="47">
        <v>52</v>
      </c>
      <c r="J22" s="48">
        <v>7</v>
      </c>
      <c r="K22" s="49">
        <v>0</v>
      </c>
      <c r="L22" s="57">
        <v>3</v>
      </c>
      <c r="M22" s="58">
        <v>18</v>
      </c>
      <c r="N22" s="58">
        <v>38</v>
      </c>
      <c r="O22" s="58">
        <v>0</v>
      </c>
      <c r="P22" s="94">
        <v>0</v>
      </c>
      <c r="Q22" s="64">
        <v>49</v>
      </c>
      <c r="R22" s="65">
        <v>1</v>
      </c>
      <c r="S22" s="65">
        <v>0</v>
      </c>
      <c r="T22" s="65">
        <v>7</v>
      </c>
      <c r="U22" s="65">
        <v>0</v>
      </c>
      <c r="V22" s="99">
        <v>2</v>
      </c>
    </row>
    <row r="23" spans="1:22" x14ac:dyDescent="0.4">
      <c r="A23" s="42" t="s">
        <v>46</v>
      </c>
      <c r="B23" s="79">
        <v>36</v>
      </c>
      <c r="C23" s="85">
        <v>18</v>
      </c>
      <c r="D23" s="4">
        <v>6</v>
      </c>
      <c r="E23" s="4">
        <v>17</v>
      </c>
      <c r="F23" s="4">
        <v>0</v>
      </c>
      <c r="G23" s="4">
        <v>1</v>
      </c>
      <c r="H23" s="86">
        <v>0</v>
      </c>
      <c r="I23" s="50">
        <v>31</v>
      </c>
      <c r="J23" s="51">
        <v>5</v>
      </c>
      <c r="K23" s="49">
        <v>0</v>
      </c>
      <c r="L23" s="57">
        <v>6</v>
      </c>
      <c r="M23" s="59">
        <v>17</v>
      </c>
      <c r="N23" s="59">
        <v>13</v>
      </c>
      <c r="O23" s="59">
        <v>0</v>
      </c>
      <c r="P23" s="95">
        <v>0</v>
      </c>
      <c r="Q23" s="66">
        <v>29</v>
      </c>
      <c r="R23" s="67">
        <v>1</v>
      </c>
      <c r="S23" s="67">
        <v>1</v>
      </c>
      <c r="T23" s="67">
        <v>5</v>
      </c>
      <c r="U23" s="67">
        <v>0</v>
      </c>
      <c r="V23" s="100">
        <v>1</v>
      </c>
    </row>
    <row r="24" spans="1:22" x14ac:dyDescent="0.4">
      <c r="A24" s="42" t="s">
        <v>47</v>
      </c>
      <c r="B24" s="79">
        <v>42</v>
      </c>
      <c r="C24" s="85">
        <v>20</v>
      </c>
      <c r="D24" s="4">
        <v>4</v>
      </c>
      <c r="E24" s="4">
        <v>21</v>
      </c>
      <c r="F24" s="4">
        <v>0</v>
      </c>
      <c r="G24" s="4">
        <v>3</v>
      </c>
      <c r="H24" s="86">
        <v>0</v>
      </c>
      <c r="I24" s="50">
        <v>41</v>
      </c>
      <c r="J24" s="51">
        <v>1</v>
      </c>
      <c r="K24" s="49">
        <v>0</v>
      </c>
      <c r="L24" s="57">
        <v>3</v>
      </c>
      <c r="M24" s="59">
        <v>24</v>
      </c>
      <c r="N24" s="59">
        <v>15</v>
      </c>
      <c r="O24" s="59">
        <v>0</v>
      </c>
      <c r="P24" s="95">
        <v>0</v>
      </c>
      <c r="Q24" s="66">
        <v>31</v>
      </c>
      <c r="R24" s="67">
        <v>1</v>
      </c>
      <c r="S24" s="67">
        <v>0</v>
      </c>
      <c r="T24" s="67">
        <v>7</v>
      </c>
      <c r="U24" s="67">
        <v>0</v>
      </c>
      <c r="V24" s="100">
        <v>3</v>
      </c>
    </row>
    <row r="25" spans="1:22" x14ac:dyDescent="0.4">
      <c r="A25" s="42" t="s">
        <v>48</v>
      </c>
      <c r="B25" s="79">
        <v>41</v>
      </c>
      <c r="C25" s="85">
        <v>22</v>
      </c>
      <c r="D25" s="4">
        <v>6</v>
      </c>
      <c r="E25" s="4">
        <v>21</v>
      </c>
      <c r="F25" s="4">
        <v>0</v>
      </c>
      <c r="G25" s="4">
        <v>5</v>
      </c>
      <c r="H25" s="86">
        <v>0</v>
      </c>
      <c r="I25" s="50">
        <v>36</v>
      </c>
      <c r="J25" s="51">
        <v>5</v>
      </c>
      <c r="K25" s="49">
        <v>0</v>
      </c>
      <c r="L25" s="57">
        <v>2</v>
      </c>
      <c r="M25" s="58">
        <v>13</v>
      </c>
      <c r="N25" s="58">
        <v>25</v>
      </c>
      <c r="O25" s="58">
        <v>0</v>
      </c>
      <c r="P25" s="94">
        <v>0</v>
      </c>
      <c r="Q25" s="66">
        <v>38</v>
      </c>
      <c r="R25" s="67">
        <v>2</v>
      </c>
      <c r="S25" s="67">
        <v>1</v>
      </c>
      <c r="T25" s="67">
        <v>0</v>
      </c>
      <c r="U25" s="67">
        <v>0</v>
      </c>
      <c r="V25" s="100">
        <v>0</v>
      </c>
    </row>
    <row r="26" spans="1:22" x14ac:dyDescent="0.4">
      <c r="A26" s="43" t="s">
        <v>56</v>
      </c>
      <c r="B26" s="80">
        <v>73</v>
      </c>
      <c r="C26" s="87">
        <v>38</v>
      </c>
      <c r="D26" s="73">
        <v>14</v>
      </c>
      <c r="E26" s="73">
        <v>67</v>
      </c>
      <c r="F26" s="73">
        <v>2</v>
      </c>
      <c r="G26" s="73">
        <v>8</v>
      </c>
      <c r="H26" s="88">
        <v>0</v>
      </c>
      <c r="I26" s="50">
        <v>64</v>
      </c>
      <c r="J26" s="51">
        <v>7</v>
      </c>
      <c r="K26" s="49">
        <v>2</v>
      </c>
      <c r="L26" s="57">
        <v>10</v>
      </c>
      <c r="M26" s="58">
        <v>33</v>
      </c>
      <c r="N26" s="58">
        <v>28</v>
      </c>
      <c r="O26" s="58">
        <v>0</v>
      </c>
      <c r="P26" s="94">
        <v>2</v>
      </c>
      <c r="Q26" s="66">
        <v>61</v>
      </c>
      <c r="R26" s="67">
        <v>1</v>
      </c>
      <c r="S26" s="67">
        <v>4</v>
      </c>
      <c r="T26" s="67">
        <v>4</v>
      </c>
      <c r="U26" s="67">
        <v>0</v>
      </c>
      <c r="V26" s="100">
        <v>3</v>
      </c>
    </row>
    <row r="27" spans="1:22" x14ac:dyDescent="0.4">
      <c r="A27" s="42" t="s">
        <v>70</v>
      </c>
      <c r="B27" s="80">
        <v>68</v>
      </c>
      <c r="C27" s="87">
        <v>34</v>
      </c>
      <c r="D27" s="73">
        <v>17</v>
      </c>
      <c r="E27" s="73">
        <v>57</v>
      </c>
      <c r="F27" s="73">
        <v>3</v>
      </c>
      <c r="G27" s="73">
        <v>13</v>
      </c>
      <c r="H27" s="88">
        <v>0</v>
      </c>
      <c r="I27" s="50">
        <v>57</v>
      </c>
      <c r="J27" s="51">
        <v>10</v>
      </c>
      <c r="K27" s="49">
        <v>1</v>
      </c>
      <c r="L27" s="57">
        <v>5</v>
      </c>
      <c r="M27" s="58">
        <v>24</v>
      </c>
      <c r="N27" s="58">
        <v>39</v>
      </c>
      <c r="O27" s="58">
        <v>0</v>
      </c>
      <c r="P27" s="94">
        <v>0</v>
      </c>
      <c r="Q27" s="66">
        <v>55</v>
      </c>
      <c r="R27" s="67">
        <v>3</v>
      </c>
      <c r="S27" s="67">
        <v>1</v>
      </c>
      <c r="T27" s="67">
        <v>7</v>
      </c>
      <c r="U27" s="67">
        <v>0</v>
      </c>
      <c r="V27" s="100">
        <v>2</v>
      </c>
    </row>
    <row r="28" spans="1:22" x14ac:dyDescent="0.4">
      <c r="A28" s="42" t="s">
        <v>84</v>
      </c>
      <c r="B28" s="79">
        <v>56</v>
      </c>
      <c r="C28" s="85">
        <v>28</v>
      </c>
      <c r="D28" s="4">
        <v>5</v>
      </c>
      <c r="E28" s="4">
        <v>31</v>
      </c>
      <c r="F28" s="4">
        <v>3</v>
      </c>
      <c r="G28" s="4">
        <v>1</v>
      </c>
      <c r="H28" s="86">
        <v>0</v>
      </c>
      <c r="I28" s="50">
        <v>55</v>
      </c>
      <c r="J28" s="51">
        <v>1</v>
      </c>
      <c r="K28" s="49">
        <v>0</v>
      </c>
      <c r="L28" s="57">
        <v>4</v>
      </c>
      <c r="M28" s="58">
        <v>24</v>
      </c>
      <c r="N28" s="58">
        <v>25</v>
      </c>
      <c r="O28" s="58">
        <v>0</v>
      </c>
      <c r="P28" s="94">
        <v>1</v>
      </c>
      <c r="Q28" s="66">
        <v>40</v>
      </c>
      <c r="R28" s="67">
        <v>5</v>
      </c>
      <c r="S28" s="67">
        <v>1</v>
      </c>
      <c r="T28" s="67">
        <v>9</v>
      </c>
      <c r="U28" s="67">
        <v>0</v>
      </c>
      <c r="V28" s="100">
        <v>1</v>
      </c>
    </row>
    <row r="29" spans="1:22" x14ac:dyDescent="0.4">
      <c r="A29" s="42" t="s">
        <v>85</v>
      </c>
      <c r="B29" s="79">
        <v>57</v>
      </c>
      <c r="C29" s="85">
        <v>30</v>
      </c>
      <c r="D29" s="4">
        <v>9</v>
      </c>
      <c r="E29" s="4">
        <v>26</v>
      </c>
      <c r="F29" s="4">
        <v>0</v>
      </c>
      <c r="G29" s="4">
        <v>2</v>
      </c>
      <c r="H29" s="86">
        <v>0</v>
      </c>
      <c r="I29" s="50">
        <v>54</v>
      </c>
      <c r="J29" s="51">
        <v>3</v>
      </c>
      <c r="K29" s="49">
        <v>0</v>
      </c>
      <c r="L29" s="57">
        <v>4</v>
      </c>
      <c r="M29" s="58">
        <v>29</v>
      </c>
      <c r="N29" s="58">
        <v>23</v>
      </c>
      <c r="O29" s="58">
        <v>0</v>
      </c>
      <c r="P29" s="94">
        <v>1</v>
      </c>
      <c r="Q29" s="66">
        <v>50</v>
      </c>
      <c r="R29" s="67">
        <v>0</v>
      </c>
      <c r="S29" s="67">
        <v>0</v>
      </c>
      <c r="T29" s="67">
        <v>6</v>
      </c>
      <c r="U29" s="67">
        <v>0</v>
      </c>
      <c r="V29" s="100">
        <v>1</v>
      </c>
    </row>
    <row r="30" spans="1:22" x14ac:dyDescent="0.4">
      <c r="A30" s="42" t="s">
        <v>86</v>
      </c>
      <c r="B30" s="79">
        <v>57</v>
      </c>
      <c r="C30" s="85">
        <v>27</v>
      </c>
      <c r="D30" s="4">
        <v>2</v>
      </c>
      <c r="E30" s="4">
        <v>26</v>
      </c>
      <c r="F30" s="4">
        <v>0</v>
      </c>
      <c r="G30" s="4">
        <v>6</v>
      </c>
      <c r="H30" s="86">
        <v>0</v>
      </c>
      <c r="I30" s="50">
        <v>51</v>
      </c>
      <c r="J30" s="51">
        <v>4</v>
      </c>
      <c r="K30" s="49">
        <v>2</v>
      </c>
      <c r="L30" s="57">
        <v>6</v>
      </c>
      <c r="M30" s="59">
        <v>27</v>
      </c>
      <c r="N30" s="59">
        <v>20</v>
      </c>
      <c r="O30" s="59">
        <v>2</v>
      </c>
      <c r="P30" s="95">
        <v>2</v>
      </c>
      <c r="Q30" s="66">
        <v>41</v>
      </c>
      <c r="R30" s="67">
        <v>1</v>
      </c>
      <c r="S30" s="67">
        <v>1</v>
      </c>
      <c r="T30" s="67">
        <v>11</v>
      </c>
      <c r="U30" s="67">
        <v>0</v>
      </c>
      <c r="V30" s="100">
        <v>3</v>
      </c>
    </row>
    <row r="31" spans="1:22" x14ac:dyDescent="0.4">
      <c r="A31" s="43" t="s">
        <v>87</v>
      </c>
      <c r="B31" s="101">
        <v>60</v>
      </c>
      <c r="C31" s="102">
        <v>24</v>
      </c>
      <c r="D31" s="8">
        <v>10</v>
      </c>
      <c r="E31" s="8">
        <v>28</v>
      </c>
      <c r="F31" s="8">
        <v>0</v>
      </c>
      <c r="G31" s="8">
        <v>2</v>
      </c>
      <c r="H31" s="103">
        <v>0</v>
      </c>
      <c r="I31" s="52">
        <v>56</v>
      </c>
      <c r="J31" s="53">
        <v>3</v>
      </c>
      <c r="K31" s="54">
        <v>1</v>
      </c>
      <c r="L31" s="60">
        <v>9</v>
      </c>
      <c r="M31" s="61">
        <v>20</v>
      </c>
      <c r="N31" s="61">
        <v>30</v>
      </c>
      <c r="O31" s="61">
        <v>0</v>
      </c>
      <c r="P31" s="104">
        <v>1</v>
      </c>
      <c r="Q31" s="68">
        <v>48</v>
      </c>
      <c r="R31" s="69">
        <v>2</v>
      </c>
      <c r="S31" s="69">
        <v>2</v>
      </c>
      <c r="T31" s="69">
        <v>6</v>
      </c>
      <c r="U31" s="69">
        <v>1</v>
      </c>
      <c r="V31" s="105">
        <v>1</v>
      </c>
    </row>
    <row r="32" spans="1:22" x14ac:dyDescent="0.4">
      <c r="A32" s="43" t="s">
        <v>106</v>
      </c>
      <c r="B32" s="101">
        <v>72</v>
      </c>
      <c r="C32" s="102">
        <v>24</v>
      </c>
      <c r="D32" s="8">
        <v>12</v>
      </c>
      <c r="E32" s="8">
        <v>31</v>
      </c>
      <c r="F32" s="8">
        <v>1</v>
      </c>
      <c r="G32" s="8">
        <v>4</v>
      </c>
      <c r="H32" s="103">
        <v>0</v>
      </c>
      <c r="I32" s="52">
        <v>62</v>
      </c>
      <c r="J32" s="53">
        <v>7</v>
      </c>
      <c r="K32" s="54">
        <v>3</v>
      </c>
      <c r="L32" s="60">
        <v>10</v>
      </c>
      <c r="M32" s="61">
        <v>26</v>
      </c>
      <c r="N32" s="61">
        <v>32</v>
      </c>
      <c r="O32" s="61">
        <v>2</v>
      </c>
      <c r="P32" s="104">
        <v>0</v>
      </c>
      <c r="Q32" s="68">
        <v>49</v>
      </c>
      <c r="R32" s="69">
        <v>4</v>
      </c>
      <c r="S32" s="69">
        <v>0</v>
      </c>
      <c r="T32" s="69">
        <v>16</v>
      </c>
      <c r="U32" s="69">
        <v>0</v>
      </c>
      <c r="V32" s="105">
        <v>3</v>
      </c>
    </row>
    <row r="33" spans="1:24" x14ac:dyDescent="0.4">
      <c r="A33" s="43" t="s">
        <v>107</v>
      </c>
      <c r="B33" s="101">
        <v>60</v>
      </c>
      <c r="C33" s="102">
        <v>17</v>
      </c>
      <c r="D33" s="8">
        <v>7</v>
      </c>
      <c r="E33" s="8">
        <v>32</v>
      </c>
      <c r="F33" s="8">
        <v>2</v>
      </c>
      <c r="G33" s="8">
        <v>4</v>
      </c>
      <c r="H33" s="103">
        <v>0</v>
      </c>
      <c r="I33" s="52">
        <v>60</v>
      </c>
      <c r="J33" s="53">
        <v>0</v>
      </c>
      <c r="K33" s="54">
        <v>0</v>
      </c>
      <c r="L33" s="60">
        <v>5</v>
      </c>
      <c r="M33" s="61">
        <v>25</v>
      </c>
      <c r="N33" s="61">
        <v>28</v>
      </c>
      <c r="O33" s="61">
        <v>1</v>
      </c>
      <c r="P33" s="104">
        <v>1</v>
      </c>
      <c r="Q33" s="68">
        <v>41</v>
      </c>
      <c r="R33" s="69">
        <v>2</v>
      </c>
      <c r="S33" s="69">
        <v>1</v>
      </c>
      <c r="T33" s="69">
        <v>13</v>
      </c>
      <c r="U33" s="69">
        <v>1</v>
      </c>
      <c r="V33" s="105">
        <v>2</v>
      </c>
    </row>
    <row r="34" spans="1:24" x14ac:dyDescent="0.4">
      <c r="A34" s="43" t="s">
        <v>108</v>
      </c>
      <c r="B34" s="101">
        <v>77</v>
      </c>
      <c r="C34" s="102">
        <v>23</v>
      </c>
      <c r="D34" s="8">
        <v>6</v>
      </c>
      <c r="E34" s="8">
        <v>37</v>
      </c>
      <c r="F34" s="8">
        <v>1</v>
      </c>
      <c r="G34" s="8">
        <v>5</v>
      </c>
      <c r="H34" s="103">
        <v>0</v>
      </c>
      <c r="I34" s="52">
        <v>69</v>
      </c>
      <c r="J34" s="53">
        <v>8</v>
      </c>
      <c r="K34" s="54">
        <v>0</v>
      </c>
      <c r="L34" s="60">
        <v>10</v>
      </c>
      <c r="M34" s="61">
        <v>26</v>
      </c>
      <c r="N34" s="61">
        <v>35</v>
      </c>
      <c r="O34" s="61">
        <v>1</v>
      </c>
      <c r="P34" s="104">
        <v>5</v>
      </c>
      <c r="Q34" s="68">
        <v>51</v>
      </c>
      <c r="R34" s="69">
        <v>3</v>
      </c>
      <c r="S34" s="69">
        <v>3</v>
      </c>
      <c r="T34" s="69">
        <v>17</v>
      </c>
      <c r="U34" s="69">
        <v>0</v>
      </c>
      <c r="V34" s="105">
        <v>3</v>
      </c>
    </row>
    <row r="35" spans="1:24" x14ac:dyDescent="0.4">
      <c r="A35" s="43" t="s">
        <v>109</v>
      </c>
      <c r="B35" s="101">
        <v>60</v>
      </c>
      <c r="C35" s="102">
        <v>18</v>
      </c>
      <c r="D35" s="8">
        <v>6</v>
      </c>
      <c r="E35" s="8">
        <v>32</v>
      </c>
      <c r="F35" s="8">
        <v>2</v>
      </c>
      <c r="G35" s="8">
        <v>2</v>
      </c>
      <c r="H35" s="103">
        <v>0</v>
      </c>
      <c r="I35" s="52">
        <v>50</v>
      </c>
      <c r="J35" s="53">
        <v>9</v>
      </c>
      <c r="K35" s="54">
        <v>1</v>
      </c>
      <c r="L35" s="60">
        <v>6</v>
      </c>
      <c r="M35" s="61">
        <v>22</v>
      </c>
      <c r="N35" s="61">
        <v>31</v>
      </c>
      <c r="O35" s="61">
        <v>1</v>
      </c>
      <c r="P35" s="104">
        <v>0</v>
      </c>
      <c r="Q35" s="68">
        <v>50</v>
      </c>
      <c r="R35" s="69">
        <v>3</v>
      </c>
      <c r="S35" s="69">
        <v>1</v>
      </c>
      <c r="T35" s="69">
        <v>5</v>
      </c>
      <c r="U35" s="69">
        <v>0</v>
      </c>
      <c r="V35" s="105">
        <v>1</v>
      </c>
      <c r="W35" s="222"/>
      <c r="X35" s="222"/>
    </row>
    <row r="36" spans="1:24" x14ac:dyDescent="0.4">
      <c r="A36" s="43" t="s">
        <v>111</v>
      </c>
      <c r="B36" s="101">
        <v>57</v>
      </c>
      <c r="C36" s="102">
        <v>15</v>
      </c>
      <c r="D36" s="8">
        <v>3</v>
      </c>
      <c r="E36" s="8">
        <v>29</v>
      </c>
      <c r="F36" s="8">
        <v>1</v>
      </c>
      <c r="G36" s="8">
        <v>4</v>
      </c>
      <c r="H36" s="103">
        <v>0</v>
      </c>
      <c r="I36" s="52">
        <v>50</v>
      </c>
      <c r="J36" s="53">
        <v>6</v>
      </c>
      <c r="K36" s="54">
        <v>1</v>
      </c>
      <c r="L36" s="60">
        <v>8</v>
      </c>
      <c r="M36" s="61">
        <v>24</v>
      </c>
      <c r="N36" s="61">
        <v>25</v>
      </c>
      <c r="O36" s="61">
        <v>0</v>
      </c>
      <c r="P36" s="104">
        <v>0</v>
      </c>
      <c r="Q36" s="68">
        <v>45</v>
      </c>
      <c r="R36" s="69">
        <v>0</v>
      </c>
      <c r="S36" s="69">
        <v>2</v>
      </c>
      <c r="T36" s="69">
        <v>7</v>
      </c>
      <c r="U36" s="69">
        <v>0</v>
      </c>
      <c r="V36" s="105">
        <v>3</v>
      </c>
      <c r="W36" s="222"/>
      <c r="X36" s="222"/>
    </row>
    <row r="37" spans="1:24" x14ac:dyDescent="0.4">
      <c r="A37" s="43" t="s">
        <v>113</v>
      </c>
      <c r="B37" s="101">
        <v>40</v>
      </c>
      <c r="C37" s="102">
        <v>13</v>
      </c>
      <c r="D37" s="8">
        <v>3</v>
      </c>
      <c r="E37" s="8">
        <v>19</v>
      </c>
      <c r="F37" s="8">
        <v>0</v>
      </c>
      <c r="G37" s="8">
        <v>2</v>
      </c>
      <c r="H37" s="103">
        <v>0</v>
      </c>
      <c r="I37" s="52">
        <v>34</v>
      </c>
      <c r="J37" s="53">
        <v>6</v>
      </c>
      <c r="K37" s="54">
        <v>0</v>
      </c>
      <c r="L37" s="60">
        <v>4</v>
      </c>
      <c r="M37" s="61">
        <v>15</v>
      </c>
      <c r="N37" s="61">
        <v>20</v>
      </c>
      <c r="O37" s="61">
        <v>1</v>
      </c>
      <c r="P37" s="104">
        <v>0</v>
      </c>
      <c r="Q37" s="68">
        <v>34</v>
      </c>
      <c r="R37" s="69">
        <v>2</v>
      </c>
      <c r="S37" s="69">
        <v>2</v>
      </c>
      <c r="T37" s="69">
        <v>2</v>
      </c>
      <c r="U37" s="69">
        <v>0</v>
      </c>
      <c r="V37" s="105">
        <v>0</v>
      </c>
      <c r="W37" s="223"/>
      <c r="X37" s="223"/>
    </row>
    <row r="38" spans="1:24" x14ac:dyDescent="0.4">
      <c r="A38" s="43" t="s">
        <v>114</v>
      </c>
      <c r="B38" s="101">
        <v>64</v>
      </c>
      <c r="C38" s="102">
        <v>22</v>
      </c>
      <c r="D38" s="8">
        <v>4</v>
      </c>
      <c r="E38" s="8">
        <v>26</v>
      </c>
      <c r="F38" s="8">
        <v>2</v>
      </c>
      <c r="G38" s="8">
        <v>6</v>
      </c>
      <c r="H38" s="103">
        <v>0</v>
      </c>
      <c r="I38" s="52">
        <v>57</v>
      </c>
      <c r="J38" s="53">
        <v>7</v>
      </c>
      <c r="K38" s="54">
        <v>0</v>
      </c>
      <c r="L38" s="60">
        <v>9</v>
      </c>
      <c r="M38" s="61">
        <v>25</v>
      </c>
      <c r="N38" s="61">
        <v>29</v>
      </c>
      <c r="O38" s="61">
        <v>1</v>
      </c>
      <c r="P38" s="104">
        <v>0</v>
      </c>
      <c r="Q38" s="68">
        <v>40</v>
      </c>
      <c r="R38" s="69">
        <v>7</v>
      </c>
      <c r="S38" s="69">
        <v>5</v>
      </c>
      <c r="T38" s="69">
        <v>10</v>
      </c>
      <c r="U38" s="69">
        <v>1</v>
      </c>
      <c r="V38" s="105">
        <v>1</v>
      </c>
      <c r="W38" s="222"/>
      <c r="X38" s="222"/>
    </row>
    <row r="39" spans="1:24" x14ac:dyDescent="0.4">
      <c r="A39" s="43" t="s">
        <v>118</v>
      </c>
      <c r="B39" s="101">
        <v>93</v>
      </c>
      <c r="C39" s="102">
        <v>32</v>
      </c>
      <c r="D39" s="8">
        <v>9</v>
      </c>
      <c r="E39" s="8">
        <v>44</v>
      </c>
      <c r="F39" s="8">
        <v>2</v>
      </c>
      <c r="G39" s="8">
        <v>8</v>
      </c>
      <c r="H39" s="103">
        <v>0</v>
      </c>
      <c r="I39" s="52">
        <v>84</v>
      </c>
      <c r="J39" s="53">
        <v>9</v>
      </c>
      <c r="K39" s="54">
        <v>0</v>
      </c>
      <c r="L39" s="60">
        <v>7</v>
      </c>
      <c r="M39" s="61">
        <v>36</v>
      </c>
      <c r="N39" s="61">
        <v>50</v>
      </c>
      <c r="O39" s="61">
        <v>0</v>
      </c>
      <c r="P39" s="104">
        <v>0</v>
      </c>
      <c r="Q39" s="68">
        <v>77</v>
      </c>
      <c r="R39" s="69">
        <v>2</v>
      </c>
      <c r="S39" s="69">
        <v>4</v>
      </c>
      <c r="T39" s="69">
        <v>7</v>
      </c>
      <c r="U39" s="69">
        <v>0</v>
      </c>
      <c r="V39" s="105">
        <v>3</v>
      </c>
    </row>
    <row r="40" spans="1:24" x14ac:dyDescent="0.4">
      <c r="A40" s="43" t="s">
        <v>119</v>
      </c>
      <c r="B40" s="101">
        <v>69</v>
      </c>
      <c r="C40" s="102">
        <v>19</v>
      </c>
      <c r="D40" s="8">
        <v>7</v>
      </c>
      <c r="E40" s="8">
        <v>33</v>
      </c>
      <c r="F40" s="8">
        <v>0</v>
      </c>
      <c r="G40" s="8">
        <v>2</v>
      </c>
      <c r="H40" s="103">
        <v>0</v>
      </c>
      <c r="I40" s="52">
        <v>60</v>
      </c>
      <c r="J40" s="53">
        <v>9</v>
      </c>
      <c r="K40" s="54">
        <v>0</v>
      </c>
      <c r="L40" s="60">
        <v>13</v>
      </c>
      <c r="M40" s="61">
        <v>23</v>
      </c>
      <c r="N40" s="61">
        <v>31</v>
      </c>
      <c r="O40" s="61">
        <v>2</v>
      </c>
      <c r="P40" s="104">
        <v>0</v>
      </c>
      <c r="Q40" s="68">
        <v>49</v>
      </c>
      <c r="R40" s="69">
        <v>4</v>
      </c>
      <c r="S40" s="69">
        <v>7</v>
      </c>
      <c r="T40" s="69">
        <v>4</v>
      </c>
      <c r="U40" s="69">
        <v>2</v>
      </c>
      <c r="V40" s="105">
        <v>3</v>
      </c>
    </row>
    <row r="41" spans="1:24" x14ac:dyDescent="0.4">
      <c r="A41" s="43" t="s">
        <v>120</v>
      </c>
      <c r="B41" s="101">
        <v>55</v>
      </c>
      <c r="C41" s="102">
        <v>12</v>
      </c>
      <c r="D41" s="8">
        <v>5</v>
      </c>
      <c r="E41" s="8">
        <v>42</v>
      </c>
      <c r="F41" s="8">
        <v>1</v>
      </c>
      <c r="G41" s="8">
        <v>5</v>
      </c>
      <c r="H41" s="103">
        <v>0</v>
      </c>
      <c r="I41" s="52">
        <v>50</v>
      </c>
      <c r="J41" s="53">
        <v>4</v>
      </c>
      <c r="K41" s="54">
        <v>1</v>
      </c>
      <c r="L41" s="60">
        <v>7</v>
      </c>
      <c r="M41" s="61">
        <v>33</v>
      </c>
      <c r="N41" s="61">
        <v>14</v>
      </c>
      <c r="O41" s="61">
        <v>0</v>
      </c>
      <c r="P41" s="104">
        <v>1</v>
      </c>
      <c r="Q41" s="68">
        <v>47</v>
      </c>
      <c r="R41" s="69">
        <v>1</v>
      </c>
      <c r="S41" s="69">
        <v>0</v>
      </c>
      <c r="T41" s="69">
        <v>5</v>
      </c>
      <c r="U41" s="69">
        <v>0</v>
      </c>
      <c r="V41" s="105">
        <v>2</v>
      </c>
    </row>
    <row r="42" spans="1:24" x14ac:dyDescent="0.4">
      <c r="A42" s="43" t="s">
        <v>121</v>
      </c>
      <c r="B42" s="101">
        <v>70</v>
      </c>
      <c r="C42" s="102">
        <v>12</v>
      </c>
      <c r="D42" s="8">
        <v>7</v>
      </c>
      <c r="E42" s="8">
        <v>44</v>
      </c>
      <c r="F42" s="8">
        <v>2</v>
      </c>
      <c r="G42" s="8">
        <v>4</v>
      </c>
      <c r="H42" s="103">
        <v>0</v>
      </c>
      <c r="I42" s="52">
        <v>61</v>
      </c>
      <c r="J42" s="53">
        <v>8</v>
      </c>
      <c r="K42" s="54">
        <v>1</v>
      </c>
      <c r="L42" s="60">
        <v>10</v>
      </c>
      <c r="M42" s="61">
        <v>30</v>
      </c>
      <c r="N42" s="61">
        <v>30</v>
      </c>
      <c r="O42" s="61">
        <v>0</v>
      </c>
      <c r="P42" s="104">
        <v>0</v>
      </c>
      <c r="Q42" s="68">
        <v>48</v>
      </c>
      <c r="R42" s="69">
        <v>5</v>
      </c>
      <c r="S42" s="69">
        <v>1</v>
      </c>
      <c r="T42" s="69">
        <v>13</v>
      </c>
      <c r="U42" s="69">
        <v>2</v>
      </c>
      <c r="V42" s="105">
        <v>1</v>
      </c>
    </row>
    <row r="43" spans="1:24" ht="19.75" customHeight="1" x14ac:dyDescent="0.4">
      <c r="A43" s="43" t="s">
        <v>122</v>
      </c>
      <c r="B43" s="101">
        <v>70</v>
      </c>
      <c r="C43" s="102">
        <v>26</v>
      </c>
      <c r="D43" s="8">
        <v>2</v>
      </c>
      <c r="E43" s="8">
        <v>31</v>
      </c>
      <c r="F43" s="8">
        <v>0</v>
      </c>
      <c r="G43" s="8">
        <v>1</v>
      </c>
      <c r="H43" s="103">
        <v>0</v>
      </c>
      <c r="I43" s="52">
        <v>62</v>
      </c>
      <c r="J43" s="53">
        <v>8</v>
      </c>
      <c r="K43" s="54">
        <v>0</v>
      </c>
      <c r="L43" s="60">
        <v>10</v>
      </c>
      <c r="M43" s="61">
        <v>29</v>
      </c>
      <c r="N43" s="61">
        <v>31</v>
      </c>
      <c r="O43" s="61">
        <v>0</v>
      </c>
      <c r="P43" s="104">
        <v>0</v>
      </c>
      <c r="Q43" s="68">
        <v>55</v>
      </c>
      <c r="R43" s="69">
        <v>1</v>
      </c>
      <c r="S43" s="69">
        <v>1</v>
      </c>
      <c r="T43" s="69">
        <v>13</v>
      </c>
      <c r="U43" s="69">
        <v>0</v>
      </c>
      <c r="V43" s="105">
        <v>0</v>
      </c>
    </row>
    <row r="44" spans="1:24" ht="19.75" customHeight="1" x14ac:dyDescent="0.4">
      <c r="A44" s="43" t="s">
        <v>123</v>
      </c>
      <c r="B44" s="101">
        <v>62</v>
      </c>
      <c r="C44" s="102">
        <v>26</v>
      </c>
      <c r="D44" s="8">
        <v>2</v>
      </c>
      <c r="E44" s="8">
        <v>31</v>
      </c>
      <c r="F44" s="8">
        <v>1</v>
      </c>
      <c r="G44" s="8">
        <v>2</v>
      </c>
      <c r="H44" s="103">
        <v>0</v>
      </c>
      <c r="I44" s="52">
        <v>50</v>
      </c>
      <c r="J44" s="53">
        <v>7</v>
      </c>
      <c r="K44" s="54">
        <v>5</v>
      </c>
      <c r="L44" s="60">
        <v>12</v>
      </c>
      <c r="M44" s="61">
        <v>17</v>
      </c>
      <c r="N44" s="61">
        <v>33</v>
      </c>
      <c r="O44" s="61">
        <v>0</v>
      </c>
      <c r="P44" s="104">
        <v>0</v>
      </c>
      <c r="Q44" s="68">
        <v>48</v>
      </c>
      <c r="R44" s="69">
        <v>1</v>
      </c>
      <c r="S44" s="69">
        <v>1</v>
      </c>
      <c r="T44" s="69">
        <v>9</v>
      </c>
      <c r="U44" s="69">
        <v>2</v>
      </c>
      <c r="V44" s="105">
        <v>1</v>
      </c>
    </row>
    <row r="45" spans="1:24" s="278" customFormat="1" x14ac:dyDescent="0.4">
      <c r="A45" s="275"/>
      <c r="B45" s="276"/>
      <c r="C45" s="276"/>
      <c r="D45" s="276"/>
      <c r="E45" s="276"/>
      <c r="F45" s="276"/>
      <c r="G45" s="276"/>
      <c r="H45" s="276"/>
      <c r="I45" s="223"/>
      <c r="J45" s="223"/>
      <c r="K45" s="223"/>
      <c r="L45" s="277"/>
      <c r="M45" s="277"/>
      <c r="N45" s="277"/>
      <c r="O45" s="277"/>
      <c r="P45" s="277"/>
      <c r="Q45" s="223"/>
      <c r="R45" s="223"/>
      <c r="S45" s="223"/>
      <c r="T45" s="223"/>
      <c r="U45" s="223"/>
      <c r="V45" s="223"/>
    </row>
  </sheetData>
  <sortState xmlns:xlrd2="http://schemas.microsoft.com/office/spreadsheetml/2017/richdata2" ref="L40:L45">
    <sortCondition ref="L40:L45"/>
  </sortState>
  <mergeCells count="4">
    <mergeCell ref="I1:K1"/>
    <mergeCell ref="L1:P1"/>
    <mergeCell ref="C1:H1"/>
    <mergeCell ref="Q1:V1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9"/>
  <sheetViews>
    <sheetView zoomScale="91" zoomScaleNormal="91" workbookViewId="0">
      <selection activeCell="A2" sqref="A2:A25"/>
    </sheetView>
  </sheetViews>
  <sheetFormatPr defaultRowHeight="14.6" x14ac:dyDescent="0.4"/>
  <cols>
    <col min="1" max="1" width="11" bestFit="1" customWidth="1"/>
    <col min="8" max="8" width="11" style="11" bestFit="1" customWidth="1"/>
    <col min="16" max="16" width="11" style="11" bestFit="1" customWidth="1"/>
    <col min="21" max="21" width="11" style="11" bestFit="1" customWidth="1"/>
    <col min="28" max="28" width="11" style="11" bestFit="1" customWidth="1"/>
    <col min="29" max="29" width="11.84375" bestFit="1" customWidth="1"/>
    <col min="30" max="30" width="12.921875" bestFit="1" customWidth="1"/>
    <col min="31" max="31" width="12.07421875" bestFit="1" customWidth="1"/>
    <col min="32" max="32" width="11.84375" bestFit="1" customWidth="1"/>
    <col min="36" max="36" width="11" bestFit="1" customWidth="1"/>
  </cols>
  <sheetData>
    <row r="1" spans="1:50" s="9" customFormat="1" ht="44.15" thickBot="1" x14ac:dyDescent="0.45">
      <c r="A1" s="126" t="s">
        <v>100</v>
      </c>
      <c r="B1" s="125" t="s">
        <v>101</v>
      </c>
      <c r="C1" s="120" t="s">
        <v>57</v>
      </c>
      <c r="D1" s="120" t="s">
        <v>58</v>
      </c>
      <c r="E1" s="120" t="s">
        <v>59</v>
      </c>
      <c r="F1" s="121" t="s">
        <v>60</v>
      </c>
      <c r="H1" s="126" t="s">
        <v>102</v>
      </c>
      <c r="I1" s="127" t="s">
        <v>6</v>
      </c>
      <c r="J1" s="128" t="s">
        <v>7</v>
      </c>
      <c r="K1" s="128" t="s">
        <v>8</v>
      </c>
      <c r="L1" s="128" t="s">
        <v>9</v>
      </c>
      <c r="M1" s="128" t="s">
        <v>23</v>
      </c>
      <c r="N1" s="129" t="s">
        <v>10</v>
      </c>
      <c r="P1" s="118" t="s">
        <v>103</v>
      </c>
      <c r="Q1" s="130" t="s">
        <v>0</v>
      </c>
      <c r="R1" s="131" t="s">
        <v>1</v>
      </c>
      <c r="S1" s="132" t="s">
        <v>55</v>
      </c>
      <c r="U1" s="145" t="s">
        <v>104</v>
      </c>
      <c r="V1" s="152" t="s">
        <v>15</v>
      </c>
      <c r="W1" s="153" t="s">
        <v>2</v>
      </c>
      <c r="X1" s="153" t="s">
        <v>3</v>
      </c>
      <c r="Y1" s="153" t="s">
        <v>4</v>
      </c>
      <c r="Z1" s="154" t="s">
        <v>5</v>
      </c>
      <c r="AB1" s="119" t="s">
        <v>105</v>
      </c>
      <c r="AC1" s="164" t="s">
        <v>12</v>
      </c>
      <c r="AD1" s="165" t="s">
        <v>11</v>
      </c>
      <c r="AE1" s="165" t="s">
        <v>13</v>
      </c>
      <c r="AF1" s="165" t="s">
        <v>14</v>
      </c>
      <c r="AG1" s="165" t="s">
        <v>76</v>
      </c>
      <c r="AH1" s="166" t="s">
        <v>5</v>
      </c>
      <c r="AJ1" s="118" t="s">
        <v>71</v>
      </c>
      <c r="AK1" s="185" t="s">
        <v>12</v>
      </c>
      <c r="AL1" s="185" t="s">
        <v>11</v>
      </c>
      <c r="AM1" s="185" t="s">
        <v>13</v>
      </c>
      <c r="AN1" s="185" t="s">
        <v>14</v>
      </c>
      <c r="AO1" s="186" t="s">
        <v>76</v>
      </c>
      <c r="AQ1" s="32" t="s">
        <v>72</v>
      </c>
      <c r="AR1" s="32" t="s">
        <v>73</v>
      </c>
      <c r="AS1" s="32" t="s">
        <v>74</v>
      </c>
      <c r="AT1" s="32" t="s">
        <v>75</v>
      </c>
      <c r="AU1" s="32" t="s">
        <v>13</v>
      </c>
      <c r="AV1" s="32" t="s">
        <v>14</v>
      </c>
      <c r="AW1" s="32" t="s">
        <v>11</v>
      </c>
      <c r="AX1" s="32" t="s">
        <v>76</v>
      </c>
    </row>
    <row r="2" spans="1:50" x14ac:dyDescent="0.4">
      <c r="A2" s="41" t="s">
        <v>43</v>
      </c>
      <c r="B2" s="176">
        <f>VLOOKUP(A2,Data!A:B,2,FALSE)</f>
        <v>57</v>
      </c>
      <c r="C2" s="179">
        <f t="shared" ref="C2:C25" si="0">AVERAGE(B$2:B$25)</f>
        <v>60.625</v>
      </c>
      <c r="D2" s="179">
        <f t="shared" ref="D2:D25" si="1">C2+(1.96*F$2)</f>
        <v>85.770538976820177</v>
      </c>
      <c r="E2" s="179">
        <f t="shared" ref="E2:E25" si="2">C2-(1.96*F$2)</f>
        <v>35.479461023179823</v>
      </c>
      <c r="F2" s="180">
        <f>STDEVA(B2:B25)</f>
        <v>12.829356620826619</v>
      </c>
      <c r="H2" s="122" t="str">
        <f>A2</f>
        <v>2020-07</v>
      </c>
      <c r="I2" s="167">
        <f>VLOOKUP(H2,Data!A:H,3,FALSE)</f>
        <v>25</v>
      </c>
      <c r="J2" s="168">
        <f>VLOOKUP(H2,Data!A:H,4,FALSE)</f>
        <v>4</v>
      </c>
      <c r="K2" s="168">
        <f>VLOOKUP(H2,Data!A:H,5,FALSE)</f>
        <v>35</v>
      </c>
      <c r="L2" s="168">
        <f>VLOOKUP(H2,Data!A:H,6,FALSE)</f>
        <v>2</v>
      </c>
      <c r="M2" s="168">
        <f>VLOOKUP(H2,Data!A:H,7,FALSE)</f>
        <v>4</v>
      </c>
      <c r="N2" s="169">
        <f>VLOOKUP(H2,Data!A:H,8,FALSE)</f>
        <v>0</v>
      </c>
      <c r="P2" s="122" t="str">
        <f>A2</f>
        <v>2020-07</v>
      </c>
      <c r="Q2" s="136">
        <f>VLOOKUP(P2,Data!A:K,9,FALSE)</f>
        <v>49</v>
      </c>
      <c r="R2" s="137">
        <f>VLOOKUP(P2,Data!A:K,10,FALSE)</f>
        <v>8</v>
      </c>
      <c r="S2" s="138">
        <f>VLOOKUP(P2,Data!A:K,11,FALSE)</f>
        <v>0</v>
      </c>
      <c r="U2" s="122" t="str">
        <f>A2</f>
        <v>2020-07</v>
      </c>
      <c r="V2" s="142">
        <f>VLOOKUP(U2,Data!A:P,12,FALSE)</f>
        <v>1</v>
      </c>
      <c r="W2" s="143">
        <f>VLOOKUP(U2,Data!A:P,13,FALSE)</f>
        <v>32</v>
      </c>
      <c r="X2" s="143">
        <f>VLOOKUP(U2,Data!A:P,14,FALSE)</f>
        <v>24</v>
      </c>
      <c r="Y2" s="143">
        <f>VLOOKUP(U2,Data!A:P,15,FALSE)</f>
        <v>0</v>
      </c>
      <c r="Z2" s="144">
        <f>VLOOKUP(U2,Data!A:P,16,FALSE)</f>
        <v>0</v>
      </c>
      <c r="AB2" s="122" t="str">
        <f>A2</f>
        <v>2020-07</v>
      </c>
      <c r="AC2" s="156">
        <f>VLOOKUP(AB2,Data!A:V,17,FALSE)</f>
        <v>48</v>
      </c>
      <c r="AD2" s="157">
        <f>VLOOKUP(AB2,Data!A:V,18,FALSE)</f>
        <v>2</v>
      </c>
      <c r="AE2" s="157">
        <f>VLOOKUP(AB2,Data!A:V,19,FALSE)</f>
        <v>2</v>
      </c>
      <c r="AF2" s="157">
        <f>VLOOKUP(AB2,Data!A:V,20,FALSE)</f>
        <v>5</v>
      </c>
      <c r="AG2" s="157">
        <f>VLOOKUP(AB2,Data!A:V,21,FALSE)</f>
        <v>0</v>
      </c>
      <c r="AH2" s="158">
        <f>VLOOKUP(AB2,Data!A:V,22,FALSE)</f>
        <v>0</v>
      </c>
      <c r="AJ2" s="187" t="str">
        <f>A2</f>
        <v>2020-07</v>
      </c>
      <c r="AK2" s="190">
        <f>(AC2/(SUM(AQ$2:AT$2)))*1000</f>
        <v>7.5850713154725968E-2</v>
      </c>
      <c r="AL2" s="191">
        <f>(AD2/AW$2)*1000</f>
        <v>0.14102383302778171</v>
      </c>
      <c r="AM2" s="191">
        <f>(AE2/AU$2)*1000</f>
        <v>7.8656546191056748E-2</v>
      </c>
      <c r="AN2" s="191">
        <f>(AF2/AV$2)*1000</f>
        <v>0.29545588843585652</v>
      </c>
      <c r="AO2" s="192">
        <f>(AG2/AX$2)*1000</f>
        <v>0</v>
      </c>
      <c r="AQ2">
        <v>592755</v>
      </c>
      <c r="AR2">
        <v>6704</v>
      </c>
      <c r="AS2">
        <v>527</v>
      </c>
      <c r="AT2">
        <v>32836</v>
      </c>
      <c r="AU2">
        <v>25427</v>
      </c>
      <c r="AV2">
        <v>16923</v>
      </c>
      <c r="AW2">
        <v>14182</v>
      </c>
      <c r="AX2">
        <v>2598</v>
      </c>
    </row>
    <row r="3" spans="1:50" x14ac:dyDescent="0.4">
      <c r="A3" s="42" t="s">
        <v>44</v>
      </c>
      <c r="B3" s="177">
        <f>VLOOKUP(A3,Data!A:B,2,FALSE)</f>
        <v>59</v>
      </c>
      <c r="C3" s="181">
        <f t="shared" si="0"/>
        <v>60.625</v>
      </c>
      <c r="D3" s="181">
        <f t="shared" si="1"/>
        <v>85.770538976820177</v>
      </c>
      <c r="E3" s="181">
        <f t="shared" si="2"/>
        <v>35.479461023179823</v>
      </c>
      <c r="F3" s="182"/>
      <c r="H3" s="123" t="str">
        <f t="shared" ref="H3:H25" si="3">A3</f>
        <v>2020-08</v>
      </c>
      <c r="I3" s="170">
        <f>VLOOKUP(H3,Data!A:H,3,FALSE)</f>
        <v>31</v>
      </c>
      <c r="J3" s="171">
        <f>VLOOKUP(H3,Data!A:H,4,FALSE)</f>
        <v>7</v>
      </c>
      <c r="K3" s="171">
        <f>VLOOKUP(H3,Data!A:H,5,FALSE)</f>
        <v>31</v>
      </c>
      <c r="L3" s="171">
        <f>VLOOKUP(H3,Data!A:H,6,FALSE)</f>
        <v>0</v>
      </c>
      <c r="M3" s="171">
        <f>VLOOKUP(H3,Data!A:H,7,FALSE)</f>
        <v>5</v>
      </c>
      <c r="N3" s="172">
        <f>VLOOKUP(H3,Data!A:H,8,FALSE)</f>
        <v>0</v>
      </c>
      <c r="P3" s="123" t="str">
        <f t="shared" ref="P3:P25" si="4">A3</f>
        <v>2020-08</v>
      </c>
      <c r="Q3" s="133">
        <f>VLOOKUP(P3,Data!A:K,9,FALSE)</f>
        <v>52</v>
      </c>
      <c r="R3" s="134">
        <f>VLOOKUP(P3,Data!A:K,10,FALSE)</f>
        <v>7</v>
      </c>
      <c r="S3" s="135">
        <f>VLOOKUP(P3,Data!A:K,11,FALSE)</f>
        <v>0</v>
      </c>
      <c r="U3" s="123" t="str">
        <f t="shared" ref="U3:U25" si="5">A3</f>
        <v>2020-08</v>
      </c>
      <c r="V3" s="147">
        <f>VLOOKUP(U3,Data!A:P,12,FALSE)</f>
        <v>3</v>
      </c>
      <c r="W3" s="146">
        <f>VLOOKUP(U3,Data!A:P,13,FALSE)</f>
        <v>18</v>
      </c>
      <c r="X3" s="146">
        <f>VLOOKUP(U3,Data!A:P,14,FALSE)</f>
        <v>38</v>
      </c>
      <c r="Y3" s="146">
        <f>VLOOKUP(U3,Data!A:P,15,FALSE)</f>
        <v>0</v>
      </c>
      <c r="Z3" s="148">
        <f>VLOOKUP(U3,Data!A:P,16,FALSE)</f>
        <v>0</v>
      </c>
      <c r="AB3" s="123" t="str">
        <f t="shared" ref="AB3:AB25" si="6">A3</f>
        <v>2020-08</v>
      </c>
      <c r="AC3" s="159">
        <f>VLOOKUP(AB3,Data!A:V,17,FALSE)</f>
        <v>49</v>
      </c>
      <c r="AD3" s="155">
        <f>VLOOKUP(AB3,Data!A:V,18,FALSE)</f>
        <v>1</v>
      </c>
      <c r="AE3" s="155">
        <f>VLOOKUP(AB3,Data!A:V,19,FALSE)</f>
        <v>0</v>
      </c>
      <c r="AF3" s="155">
        <f>VLOOKUP(AB3,Data!A:V,20,FALSE)</f>
        <v>7</v>
      </c>
      <c r="AG3" s="155">
        <f>VLOOKUP(AB3,Data!A:V,21,FALSE)</f>
        <v>0</v>
      </c>
      <c r="AH3" s="160">
        <f>VLOOKUP(AB3,Data!A:V,22,FALSE)</f>
        <v>2</v>
      </c>
      <c r="AJ3" s="188" t="str">
        <f t="shared" ref="AJ3:AJ25" si="7">A3</f>
        <v>2020-08</v>
      </c>
      <c r="AK3" s="190">
        <f t="shared" ref="AK3:AK25" si="8">(AC3/(SUM(AQ$2:AT$2)))*1000</f>
        <v>7.7430936345449425E-2</v>
      </c>
      <c r="AL3" s="191">
        <f t="shared" ref="AL3:AL25" si="9">(AD3/AW$2)*1000</f>
        <v>7.0511916513890854E-2</v>
      </c>
      <c r="AM3" s="191">
        <f t="shared" ref="AM3:AM25" si="10">(AE3/AU$2)*1000</f>
        <v>0</v>
      </c>
      <c r="AN3" s="191">
        <f t="shared" ref="AN3:AN25" si="11">(AF3/AV$2)*1000</f>
        <v>0.41363824381019915</v>
      </c>
      <c r="AO3" s="192">
        <f t="shared" ref="AO3:AO25" si="12">(AG3/AX$2)*1000</f>
        <v>0</v>
      </c>
    </row>
    <row r="4" spans="1:50" x14ac:dyDescent="0.4">
      <c r="A4" s="42" t="s">
        <v>46</v>
      </c>
      <c r="B4" s="177">
        <f>VLOOKUP(A4,Data!A:B,2,FALSE)</f>
        <v>36</v>
      </c>
      <c r="C4" s="181">
        <f t="shared" si="0"/>
        <v>60.625</v>
      </c>
      <c r="D4" s="181">
        <f t="shared" si="1"/>
        <v>85.770538976820177</v>
      </c>
      <c r="E4" s="181">
        <f t="shared" si="2"/>
        <v>35.479461023179823</v>
      </c>
      <c r="F4" s="182"/>
      <c r="H4" s="123" t="str">
        <f t="shared" si="3"/>
        <v>2020-09</v>
      </c>
      <c r="I4" s="170">
        <f>VLOOKUP(H4,Data!A:H,3,FALSE)</f>
        <v>18</v>
      </c>
      <c r="J4" s="171">
        <f>VLOOKUP(H4,Data!A:H,4,FALSE)</f>
        <v>6</v>
      </c>
      <c r="K4" s="171">
        <f>VLOOKUP(H4,Data!A:H,5,FALSE)</f>
        <v>17</v>
      </c>
      <c r="L4" s="171">
        <f>VLOOKUP(H4,Data!A:H,6,FALSE)</f>
        <v>0</v>
      </c>
      <c r="M4" s="171">
        <f>VLOOKUP(H4,Data!A:H,7,FALSE)</f>
        <v>1</v>
      </c>
      <c r="N4" s="172">
        <f>VLOOKUP(H4,Data!A:H,8,FALSE)</f>
        <v>0</v>
      </c>
      <c r="P4" s="123" t="str">
        <f t="shared" si="4"/>
        <v>2020-09</v>
      </c>
      <c r="Q4" s="133">
        <f>VLOOKUP(P4,Data!A:K,9,FALSE)</f>
        <v>31</v>
      </c>
      <c r="R4" s="134">
        <f>VLOOKUP(P4,Data!A:K,10,FALSE)</f>
        <v>5</v>
      </c>
      <c r="S4" s="135">
        <f>VLOOKUP(P4,Data!A:K,11,FALSE)</f>
        <v>0</v>
      </c>
      <c r="U4" s="123" t="str">
        <f t="shared" si="5"/>
        <v>2020-09</v>
      </c>
      <c r="V4" s="147">
        <f>VLOOKUP(U4,Data!A:P,12,FALSE)</f>
        <v>6</v>
      </c>
      <c r="W4" s="146">
        <f>VLOOKUP(U4,Data!A:P,13,FALSE)</f>
        <v>17</v>
      </c>
      <c r="X4" s="146">
        <f>VLOOKUP(U4,Data!A:P,14,FALSE)</f>
        <v>13</v>
      </c>
      <c r="Y4" s="146">
        <f>VLOOKUP(U4,Data!A:P,15,FALSE)</f>
        <v>0</v>
      </c>
      <c r="Z4" s="148">
        <f>VLOOKUP(U4,Data!A:P,16,FALSE)</f>
        <v>0</v>
      </c>
      <c r="AB4" s="123" t="str">
        <f t="shared" si="6"/>
        <v>2020-09</v>
      </c>
      <c r="AC4" s="159">
        <f>VLOOKUP(AB4,Data!A:V,17,FALSE)</f>
        <v>29</v>
      </c>
      <c r="AD4" s="155">
        <f>VLOOKUP(AB4,Data!A:V,18,FALSE)</f>
        <v>1</v>
      </c>
      <c r="AE4" s="155">
        <f>VLOOKUP(AB4,Data!A:V,19,FALSE)</f>
        <v>1</v>
      </c>
      <c r="AF4" s="155">
        <f>VLOOKUP(AB4,Data!A:V,20,FALSE)</f>
        <v>5</v>
      </c>
      <c r="AG4" s="155">
        <f>VLOOKUP(AB4,Data!A:V,21,FALSE)</f>
        <v>0</v>
      </c>
      <c r="AH4" s="160">
        <f>VLOOKUP(AB4,Data!A:V,22,FALSE)</f>
        <v>1</v>
      </c>
      <c r="AJ4" s="188" t="str">
        <f t="shared" si="7"/>
        <v>2020-09</v>
      </c>
      <c r="AK4" s="190">
        <f t="shared" si="8"/>
        <v>4.5826472530980281E-2</v>
      </c>
      <c r="AL4" s="191">
        <f t="shared" si="9"/>
        <v>7.0511916513890854E-2</v>
      </c>
      <c r="AM4" s="191">
        <f t="shared" si="10"/>
        <v>3.9328273095528374E-2</v>
      </c>
      <c r="AN4" s="191">
        <f t="shared" si="11"/>
        <v>0.29545588843585652</v>
      </c>
      <c r="AO4" s="192">
        <f t="shared" si="12"/>
        <v>0</v>
      </c>
      <c r="AQ4" s="33" t="s">
        <v>12</v>
      </c>
      <c r="AR4" s="33" t="s">
        <v>82</v>
      </c>
    </row>
    <row r="5" spans="1:50" x14ac:dyDescent="0.4">
      <c r="A5" s="42" t="s">
        <v>47</v>
      </c>
      <c r="B5" s="177">
        <f>VLOOKUP(A5,Data!A:B,2,FALSE)</f>
        <v>42</v>
      </c>
      <c r="C5" s="181">
        <f t="shared" si="0"/>
        <v>60.625</v>
      </c>
      <c r="D5" s="181">
        <f t="shared" si="1"/>
        <v>85.770538976820177</v>
      </c>
      <c r="E5" s="181">
        <f t="shared" si="2"/>
        <v>35.479461023179823</v>
      </c>
      <c r="F5" s="182"/>
      <c r="H5" s="123" t="str">
        <f t="shared" si="3"/>
        <v>2020-10</v>
      </c>
      <c r="I5" s="170">
        <f>VLOOKUP(H5,Data!A:H,3,FALSE)</f>
        <v>20</v>
      </c>
      <c r="J5" s="171">
        <f>VLOOKUP(H5,Data!A:H,4,FALSE)</f>
        <v>4</v>
      </c>
      <c r="K5" s="171">
        <f>VLOOKUP(H5,Data!A:H,5,FALSE)</f>
        <v>21</v>
      </c>
      <c r="L5" s="171">
        <f>VLOOKUP(H5,Data!A:H,6,FALSE)</f>
        <v>0</v>
      </c>
      <c r="M5" s="171">
        <f>VLOOKUP(H5,Data!A:H,7,FALSE)</f>
        <v>3</v>
      </c>
      <c r="N5" s="172">
        <f>VLOOKUP(H5,Data!A:H,8,FALSE)</f>
        <v>0</v>
      </c>
      <c r="P5" s="123" t="str">
        <f t="shared" si="4"/>
        <v>2020-10</v>
      </c>
      <c r="Q5" s="133">
        <f>VLOOKUP(P5,Data!A:K,9,FALSE)</f>
        <v>41</v>
      </c>
      <c r="R5" s="134">
        <f>VLOOKUP(P5,Data!A:K,10,FALSE)</f>
        <v>1</v>
      </c>
      <c r="S5" s="135">
        <f>VLOOKUP(P5,Data!A:K,11,FALSE)</f>
        <v>0</v>
      </c>
      <c r="U5" s="123" t="str">
        <f t="shared" si="5"/>
        <v>2020-10</v>
      </c>
      <c r="V5" s="147">
        <f>VLOOKUP(U5,Data!A:P,12,FALSE)</f>
        <v>3</v>
      </c>
      <c r="W5" s="146">
        <f>VLOOKUP(U5,Data!A:P,13,FALSE)</f>
        <v>24</v>
      </c>
      <c r="X5" s="146">
        <f>VLOOKUP(U5,Data!A:P,14,FALSE)</f>
        <v>15</v>
      </c>
      <c r="Y5" s="146">
        <f>VLOOKUP(U5,Data!A:P,15,FALSE)</f>
        <v>0</v>
      </c>
      <c r="Z5" s="148">
        <f>VLOOKUP(U5,Data!A:P,16,FALSE)</f>
        <v>0</v>
      </c>
      <c r="AB5" s="123" t="str">
        <f t="shared" si="6"/>
        <v>2020-10</v>
      </c>
      <c r="AC5" s="159">
        <f>VLOOKUP(AB5,Data!A:V,17,FALSE)</f>
        <v>31</v>
      </c>
      <c r="AD5" s="155">
        <f>VLOOKUP(AB5,Data!A:V,18,FALSE)</f>
        <v>1</v>
      </c>
      <c r="AE5" s="155">
        <f>VLOOKUP(AB5,Data!A:V,19,FALSE)</f>
        <v>0</v>
      </c>
      <c r="AF5" s="155">
        <f>VLOOKUP(AB5,Data!A:V,20,FALSE)</f>
        <v>7</v>
      </c>
      <c r="AG5" s="155">
        <f>VLOOKUP(AB5,Data!A:V,21,FALSE)</f>
        <v>0</v>
      </c>
      <c r="AH5" s="160">
        <f>VLOOKUP(AB5,Data!A:V,22,FALSE)</f>
        <v>3</v>
      </c>
      <c r="AJ5" s="188" t="str">
        <f t="shared" si="7"/>
        <v>2020-10</v>
      </c>
      <c r="AK5" s="190">
        <f t="shared" si="8"/>
        <v>4.8986918912427194E-2</v>
      </c>
      <c r="AL5" s="191">
        <f t="shared" si="9"/>
        <v>7.0511916513890854E-2</v>
      </c>
      <c r="AM5" s="191">
        <f t="shared" si="10"/>
        <v>0</v>
      </c>
      <c r="AN5" s="191">
        <f t="shared" si="11"/>
        <v>0.41363824381019915</v>
      </c>
      <c r="AO5" s="192">
        <f t="shared" si="12"/>
        <v>0</v>
      </c>
      <c r="AQ5">
        <v>632822</v>
      </c>
      <c r="AR5">
        <v>59130</v>
      </c>
    </row>
    <row r="6" spans="1:50" x14ac:dyDescent="0.4">
      <c r="A6" s="42" t="s">
        <v>48</v>
      </c>
      <c r="B6" s="177">
        <f>VLOOKUP(A6,Data!A:B,2,FALSE)</f>
        <v>41</v>
      </c>
      <c r="C6" s="181">
        <f t="shared" si="0"/>
        <v>60.625</v>
      </c>
      <c r="D6" s="181">
        <f t="shared" si="1"/>
        <v>85.770538976820177</v>
      </c>
      <c r="E6" s="181">
        <f t="shared" si="2"/>
        <v>35.479461023179823</v>
      </c>
      <c r="F6" s="182"/>
      <c r="H6" s="123" t="str">
        <f t="shared" si="3"/>
        <v>2020-11</v>
      </c>
      <c r="I6" s="170">
        <f>VLOOKUP(H6,Data!A:H,3,FALSE)</f>
        <v>22</v>
      </c>
      <c r="J6" s="171">
        <f>VLOOKUP(H6,Data!A:H,4,FALSE)</f>
        <v>6</v>
      </c>
      <c r="K6" s="171">
        <f>VLOOKUP(H6,Data!A:H,5,FALSE)</f>
        <v>21</v>
      </c>
      <c r="L6" s="171">
        <f>VLOOKUP(H6,Data!A:H,6,FALSE)</f>
        <v>0</v>
      </c>
      <c r="M6" s="171">
        <f>VLOOKUP(H6,Data!A:H,7,FALSE)</f>
        <v>5</v>
      </c>
      <c r="N6" s="172">
        <f>VLOOKUP(H6,Data!A:H,8,FALSE)</f>
        <v>0</v>
      </c>
      <c r="P6" s="123" t="str">
        <f t="shared" si="4"/>
        <v>2020-11</v>
      </c>
      <c r="Q6" s="133">
        <f>VLOOKUP(P6,Data!A:K,9,FALSE)</f>
        <v>36</v>
      </c>
      <c r="R6" s="134">
        <f>VLOOKUP(P6,Data!A:K,10,FALSE)</f>
        <v>5</v>
      </c>
      <c r="S6" s="135">
        <f>VLOOKUP(P6,Data!A:K,11,FALSE)</f>
        <v>0</v>
      </c>
      <c r="U6" s="123" t="str">
        <f t="shared" si="5"/>
        <v>2020-11</v>
      </c>
      <c r="V6" s="147">
        <f>VLOOKUP(U6,Data!A:P,12,FALSE)</f>
        <v>2</v>
      </c>
      <c r="W6" s="146">
        <f>VLOOKUP(U6,Data!A:P,13,FALSE)</f>
        <v>13</v>
      </c>
      <c r="X6" s="146">
        <f>VLOOKUP(U6,Data!A:P,14,FALSE)</f>
        <v>25</v>
      </c>
      <c r="Y6" s="146">
        <f>VLOOKUP(U6,Data!A:P,15,FALSE)</f>
        <v>0</v>
      </c>
      <c r="Z6" s="148">
        <f>VLOOKUP(U6,Data!A:P,16,FALSE)</f>
        <v>0</v>
      </c>
      <c r="AB6" s="123" t="str">
        <f t="shared" si="6"/>
        <v>2020-11</v>
      </c>
      <c r="AC6" s="159">
        <f>VLOOKUP(AB6,Data!A:V,17,FALSE)</f>
        <v>38</v>
      </c>
      <c r="AD6" s="155">
        <f>VLOOKUP(AB6,Data!A:V,18,FALSE)</f>
        <v>2</v>
      </c>
      <c r="AE6" s="155">
        <f>VLOOKUP(AB6,Data!A:V,19,FALSE)</f>
        <v>1</v>
      </c>
      <c r="AF6" s="155">
        <f>VLOOKUP(AB6,Data!A:V,20,FALSE)</f>
        <v>0</v>
      </c>
      <c r="AG6" s="155">
        <f>VLOOKUP(AB6,Data!A:V,21,FALSE)</f>
        <v>0</v>
      </c>
      <c r="AH6" s="160">
        <f>VLOOKUP(AB6,Data!A:V,22,FALSE)</f>
        <v>0</v>
      </c>
      <c r="AJ6" s="188" t="str">
        <f t="shared" si="7"/>
        <v>2020-11</v>
      </c>
      <c r="AK6" s="190">
        <f t="shared" si="8"/>
        <v>6.0048481247491396E-2</v>
      </c>
      <c r="AL6" s="191">
        <f t="shared" si="9"/>
        <v>0.14102383302778171</v>
      </c>
      <c r="AM6" s="191">
        <f t="shared" si="10"/>
        <v>3.9328273095528374E-2</v>
      </c>
      <c r="AN6" s="191">
        <f t="shared" si="11"/>
        <v>0</v>
      </c>
      <c r="AO6" s="192">
        <f t="shared" si="12"/>
        <v>0</v>
      </c>
    </row>
    <row r="7" spans="1:50" x14ac:dyDescent="0.4">
      <c r="A7" s="43" t="s">
        <v>56</v>
      </c>
      <c r="B7" s="177">
        <f>VLOOKUP(A7,Data!A:B,2,FALSE)</f>
        <v>73</v>
      </c>
      <c r="C7" s="181">
        <f t="shared" si="0"/>
        <v>60.625</v>
      </c>
      <c r="D7" s="181">
        <f t="shared" si="1"/>
        <v>85.770538976820177</v>
      </c>
      <c r="E7" s="181">
        <f t="shared" si="2"/>
        <v>35.479461023179823</v>
      </c>
      <c r="F7" s="182"/>
      <c r="H7" s="123" t="str">
        <f t="shared" si="3"/>
        <v>2020-12</v>
      </c>
      <c r="I7" s="170">
        <f>VLOOKUP(H7,Data!A:H,3,FALSE)</f>
        <v>38</v>
      </c>
      <c r="J7" s="171">
        <f>VLOOKUP(H7,Data!A:H,4,FALSE)</f>
        <v>14</v>
      </c>
      <c r="K7" s="171">
        <f>VLOOKUP(H7,Data!A:H,5,FALSE)</f>
        <v>67</v>
      </c>
      <c r="L7" s="171">
        <f>VLOOKUP(H7,Data!A:H,6,FALSE)</f>
        <v>2</v>
      </c>
      <c r="M7" s="171">
        <f>VLOOKUP(H7,Data!A:H,7,FALSE)</f>
        <v>8</v>
      </c>
      <c r="N7" s="172">
        <f>VLOOKUP(H7,Data!A:H,8,FALSE)</f>
        <v>0</v>
      </c>
      <c r="P7" s="123" t="str">
        <f t="shared" si="4"/>
        <v>2020-12</v>
      </c>
      <c r="Q7" s="133">
        <f>VLOOKUP(P7,Data!A:K,9,FALSE)</f>
        <v>64</v>
      </c>
      <c r="R7" s="134">
        <f>VLOOKUP(P7,Data!A:K,10,FALSE)</f>
        <v>7</v>
      </c>
      <c r="S7" s="135">
        <f>VLOOKUP(P7,Data!A:K,11,FALSE)</f>
        <v>2</v>
      </c>
      <c r="U7" s="123" t="str">
        <f t="shared" si="5"/>
        <v>2020-12</v>
      </c>
      <c r="V7" s="147">
        <f>VLOOKUP(U7,Data!A:P,12,FALSE)</f>
        <v>10</v>
      </c>
      <c r="W7" s="146">
        <f>VLOOKUP(U7,Data!A:P,13,FALSE)</f>
        <v>33</v>
      </c>
      <c r="X7" s="146">
        <f>VLOOKUP(U7,Data!A:P,14,FALSE)</f>
        <v>28</v>
      </c>
      <c r="Y7" s="146">
        <f>VLOOKUP(U7,Data!A:P,15,FALSE)</f>
        <v>0</v>
      </c>
      <c r="Z7" s="148">
        <f>VLOOKUP(U7,Data!A:P,16,FALSE)</f>
        <v>2</v>
      </c>
      <c r="AB7" s="123" t="str">
        <f t="shared" si="6"/>
        <v>2020-12</v>
      </c>
      <c r="AC7" s="159">
        <f>VLOOKUP(AB7,Data!A:V,17,FALSE)</f>
        <v>61</v>
      </c>
      <c r="AD7" s="155">
        <f>VLOOKUP(AB7,Data!A:V,18,FALSE)</f>
        <v>1</v>
      </c>
      <c r="AE7" s="155">
        <f>VLOOKUP(AB7,Data!A:V,19,FALSE)</f>
        <v>4</v>
      </c>
      <c r="AF7" s="155">
        <f>VLOOKUP(AB7,Data!A:V,20,FALSE)</f>
        <v>4</v>
      </c>
      <c r="AG7" s="155">
        <f>VLOOKUP(AB7,Data!A:V,21,FALSE)</f>
        <v>0</v>
      </c>
      <c r="AH7" s="160">
        <f>VLOOKUP(AB7,Data!A:V,22,FALSE)</f>
        <v>3</v>
      </c>
      <c r="AJ7" s="188" t="str">
        <f t="shared" si="7"/>
        <v>2020-12</v>
      </c>
      <c r="AK7" s="190">
        <f t="shared" si="8"/>
        <v>9.6393614634130931E-2</v>
      </c>
      <c r="AL7" s="191">
        <f t="shared" si="9"/>
        <v>7.0511916513890854E-2</v>
      </c>
      <c r="AM7" s="191">
        <f t="shared" si="10"/>
        <v>0.1573130923821135</v>
      </c>
      <c r="AN7" s="191">
        <f t="shared" si="11"/>
        <v>0.23636471074868523</v>
      </c>
      <c r="AO7" s="192">
        <f t="shared" si="12"/>
        <v>0</v>
      </c>
    </row>
    <row r="8" spans="1:50" x14ac:dyDescent="0.4">
      <c r="A8" s="42" t="s">
        <v>70</v>
      </c>
      <c r="B8" s="177">
        <f>VLOOKUP(A8,Data!A:B,2,FALSE)</f>
        <v>68</v>
      </c>
      <c r="C8" s="181">
        <f t="shared" si="0"/>
        <v>60.625</v>
      </c>
      <c r="D8" s="181">
        <f t="shared" si="1"/>
        <v>85.770538976820177</v>
      </c>
      <c r="E8" s="181">
        <f t="shared" si="2"/>
        <v>35.479461023179823</v>
      </c>
      <c r="F8" s="182"/>
      <c r="H8" s="123" t="str">
        <f t="shared" si="3"/>
        <v>2021-01</v>
      </c>
      <c r="I8" s="170">
        <f>VLOOKUP(H8,Data!A:H,3,FALSE)</f>
        <v>34</v>
      </c>
      <c r="J8" s="171">
        <f>VLOOKUP(H8,Data!A:H,4,FALSE)</f>
        <v>17</v>
      </c>
      <c r="K8" s="171">
        <f>VLOOKUP(H8,Data!A:H,5,FALSE)</f>
        <v>57</v>
      </c>
      <c r="L8" s="171">
        <f>VLOOKUP(H8,Data!A:H,6,FALSE)</f>
        <v>3</v>
      </c>
      <c r="M8" s="171">
        <f>VLOOKUP(H8,Data!A:H,7,FALSE)</f>
        <v>13</v>
      </c>
      <c r="N8" s="172">
        <f>VLOOKUP(H8,Data!A:H,8,FALSE)</f>
        <v>0</v>
      </c>
      <c r="P8" s="123" t="str">
        <f t="shared" si="4"/>
        <v>2021-01</v>
      </c>
      <c r="Q8" s="133">
        <f>VLOOKUP(P8,Data!A:K,9,FALSE)</f>
        <v>57</v>
      </c>
      <c r="R8" s="134">
        <f>VLOOKUP(P8,Data!A:K,10,FALSE)</f>
        <v>10</v>
      </c>
      <c r="S8" s="135">
        <f>VLOOKUP(P8,Data!A:K,11,FALSE)</f>
        <v>1</v>
      </c>
      <c r="U8" s="123" t="str">
        <f t="shared" si="5"/>
        <v>2021-01</v>
      </c>
      <c r="V8" s="147">
        <f>VLOOKUP(U8,Data!A:P,12,FALSE)</f>
        <v>5</v>
      </c>
      <c r="W8" s="146">
        <f>VLOOKUP(U8,Data!A:P,13,FALSE)</f>
        <v>24</v>
      </c>
      <c r="X8" s="146">
        <f>VLOOKUP(U8,Data!A:P,14,FALSE)</f>
        <v>39</v>
      </c>
      <c r="Y8" s="146">
        <f>VLOOKUP(U8,Data!A:P,15,FALSE)</f>
        <v>0</v>
      </c>
      <c r="Z8" s="148">
        <f>VLOOKUP(U8,Data!A:P,16,FALSE)</f>
        <v>0</v>
      </c>
      <c r="AB8" s="123" t="str">
        <f t="shared" si="6"/>
        <v>2021-01</v>
      </c>
      <c r="AC8" s="159">
        <f>VLOOKUP(AB8,Data!A:V,17,FALSE)</f>
        <v>55</v>
      </c>
      <c r="AD8" s="155">
        <f>VLOOKUP(AB8,Data!A:V,18,FALSE)</f>
        <v>3</v>
      </c>
      <c r="AE8" s="155">
        <f>VLOOKUP(AB8,Data!A:V,19,FALSE)</f>
        <v>1</v>
      </c>
      <c r="AF8" s="155">
        <f>VLOOKUP(AB8,Data!A:V,20,FALSE)</f>
        <v>7</v>
      </c>
      <c r="AG8" s="155">
        <f>VLOOKUP(AB8,Data!A:V,21,FALSE)</f>
        <v>0</v>
      </c>
      <c r="AH8" s="160">
        <f>VLOOKUP(AB8,Data!A:V,22,FALSE)</f>
        <v>2</v>
      </c>
      <c r="AJ8" s="188" t="str">
        <f t="shared" si="7"/>
        <v>2021-01</v>
      </c>
      <c r="AK8" s="190">
        <f t="shared" si="8"/>
        <v>8.6912275489790178E-2</v>
      </c>
      <c r="AL8" s="191">
        <f t="shared" si="9"/>
        <v>0.21153574954167254</v>
      </c>
      <c r="AM8" s="191">
        <f t="shared" si="10"/>
        <v>3.9328273095528374E-2</v>
      </c>
      <c r="AN8" s="191">
        <f t="shared" si="11"/>
        <v>0.41363824381019915</v>
      </c>
      <c r="AO8" s="192">
        <f t="shared" si="12"/>
        <v>0</v>
      </c>
    </row>
    <row r="9" spans="1:50" x14ac:dyDescent="0.4">
      <c r="A9" s="42" t="s">
        <v>84</v>
      </c>
      <c r="B9" s="177">
        <f>VLOOKUP(A9,Data!A:B,2,FALSE)</f>
        <v>56</v>
      </c>
      <c r="C9" s="181">
        <f t="shared" si="0"/>
        <v>60.625</v>
      </c>
      <c r="D9" s="181">
        <f t="shared" si="1"/>
        <v>85.770538976820177</v>
      </c>
      <c r="E9" s="181">
        <f t="shared" si="2"/>
        <v>35.479461023179823</v>
      </c>
      <c r="F9" s="182"/>
      <c r="H9" s="123" t="str">
        <f t="shared" si="3"/>
        <v>2021-02</v>
      </c>
      <c r="I9" s="170">
        <f>VLOOKUP(H9,Data!A:H,3,FALSE)</f>
        <v>28</v>
      </c>
      <c r="J9" s="171">
        <f>VLOOKUP(H9,Data!A:H,4,FALSE)</f>
        <v>5</v>
      </c>
      <c r="K9" s="171">
        <f>VLOOKUP(H9,Data!A:H,5,FALSE)</f>
        <v>31</v>
      </c>
      <c r="L9" s="171">
        <f>VLOOKUP(H9,Data!A:H,6,FALSE)</f>
        <v>3</v>
      </c>
      <c r="M9" s="171">
        <f>VLOOKUP(H9,Data!A:H,7,FALSE)</f>
        <v>1</v>
      </c>
      <c r="N9" s="172">
        <f>VLOOKUP(H9,Data!A:H,8,FALSE)</f>
        <v>0</v>
      </c>
      <c r="P9" s="123" t="str">
        <f t="shared" si="4"/>
        <v>2021-02</v>
      </c>
      <c r="Q9" s="133">
        <f>VLOOKUP(P9,Data!A:K,9,FALSE)</f>
        <v>55</v>
      </c>
      <c r="R9" s="134">
        <f>VLOOKUP(P9,Data!A:K,10,FALSE)</f>
        <v>1</v>
      </c>
      <c r="S9" s="135">
        <f>VLOOKUP(P9,Data!A:K,11,FALSE)</f>
        <v>0</v>
      </c>
      <c r="U9" s="123" t="str">
        <f t="shared" si="5"/>
        <v>2021-02</v>
      </c>
      <c r="V9" s="147">
        <f>VLOOKUP(U9,Data!A:P,12,FALSE)</f>
        <v>4</v>
      </c>
      <c r="W9" s="146">
        <f>VLOOKUP(U9,Data!A:P,13,FALSE)</f>
        <v>24</v>
      </c>
      <c r="X9" s="146">
        <f>VLOOKUP(U9,Data!A:P,14,FALSE)</f>
        <v>25</v>
      </c>
      <c r="Y9" s="146">
        <f>VLOOKUP(U9,Data!A:P,15,FALSE)</f>
        <v>0</v>
      </c>
      <c r="Z9" s="148">
        <f>VLOOKUP(U9,Data!A:P,16,FALSE)</f>
        <v>1</v>
      </c>
      <c r="AB9" s="123" t="str">
        <f t="shared" si="6"/>
        <v>2021-02</v>
      </c>
      <c r="AC9" s="159">
        <f>VLOOKUP(AB9,Data!A:V,17,FALSE)</f>
        <v>40</v>
      </c>
      <c r="AD9" s="155">
        <f>VLOOKUP(AB9,Data!A:V,18,FALSE)</f>
        <v>5</v>
      </c>
      <c r="AE9" s="155">
        <f>VLOOKUP(AB9,Data!A:V,19,FALSE)</f>
        <v>1</v>
      </c>
      <c r="AF9" s="155">
        <f>VLOOKUP(AB9,Data!A:V,20,FALSE)</f>
        <v>9</v>
      </c>
      <c r="AG9" s="155">
        <f>VLOOKUP(AB9,Data!A:V,21,FALSE)</f>
        <v>0</v>
      </c>
      <c r="AH9" s="160">
        <f>VLOOKUP(AB9,Data!A:V,22,FALSE)</f>
        <v>1</v>
      </c>
      <c r="AJ9" s="188" t="str">
        <f t="shared" si="7"/>
        <v>2021-02</v>
      </c>
      <c r="AK9" s="190">
        <f t="shared" si="8"/>
        <v>6.3208927628938316E-2</v>
      </c>
      <c r="AL9" s="191">
        <f t="shared" si="9"/>
        <v>0.35255958256945424</v>
      </c>
      <c r="AM9" s="191">
        <f t="shared" si="10"/>
        <v>3.9328273095528374E-2</v>
      </c>
      <c r="AN9" s="191">
        <f t="shared" si="11"/>
        <v>0.53182059918454172</v>
      </c>
      <c r="AO9" s="192">
        <f t="shared" si="12"/>
        <v>0</v>
      </c>
    </row>
    <row r="10" spans="1:50" x14ac:dyDescent="0.4">
      <c r="A10" s="42" t="s">
        <v>85</v>
      </c>
      <c r="B10" s="177">
        <f>VLOOKUP(A10,Data!A:B,2,FALSE)</f>
        <v>57</v>
      </c>
      <c r="C10" s="181">
        <f t="shared" si="0"/>
        <v>60.625</v>
      </c>
      <c r="D10" s="181">
        <f t="shared" si="1"/>
        <v>85.770538976820177</v>
      </c>
      <c r="E10" s="181">
        <f t="shared" si="2"/>
        <v>35.479461023179823</v>
      </c>
      <c r="F10" s="182"/>
      <c r="H10" s="123" t="str">
        <f t="shared" si="3"/>
        <v>2021-03</v>
      </c>
      <c r="I10" s="170">
        <f>VLOOKUP(H10,Data!A:H,3,FALSE)</f>
        <v>30</v>
      </c>
      <c r="J10" s="171">
        <f>VLOOKUP(H10,Data!A:H,4,FALSE)</f>
        <v>9</v>
      </c>
      <c r="K10" s="171">
        <f>VLOOKUP(H10,Data!A:H,5,FALSE)</f>
        <v>26</v>
      </c>
      <c r="L10" s="171">
        <f>VLOOKUP(H10,Data!A:H,6,FALSE)</f>
        <v>0</v>
      </c>
      <c r="M10" s="171">
        <f>VLOOKUP(H10,Data!A:H,7,FALSE)</f>
        <v>2</v>
      </c>
      <c r="N10" s="172">
        <f>VLOOKUP(H10,Data!A:H,8,FALSE)</f>
        <v>0</v>
      </c>
      <c r="P10" s="123" t="str">
        <f t="shared" si="4"/>
        <v>2021-03</v>
      </c>
      <c r="Q10" s="133">
        <f>VLOOKUP(P10,Data!A:K,9,FALSE)</f>
        <v>54</v>
      </c>
      <c r="R10" s="134">
        <f>VLOOKUP(P10,Data!A:K,10,FALSE)</f>
        <v>3</v>
      </c>
      <c r="S10" s="135">
        <f>VLOOKUP(P10,Data!A:K,11,FALSE)</f>
        <v>0</v>
      </c>
      <c r="U10" s="123" t="str">
        <f t="shared" si="5"/>
        <v>2021-03</v>
      </c>
      <c r="V10" s="147">
        <f>VLOOKUP(U10,Data!A:P,12,FALSE)</f>
        <v>4</v>
      </c>
      <c r="W10" s="146">
        <f>VLOOKUP(U10,Data!A:P,13,FALSE)</f>
        <v>29</v>
      </c>
      <c r="X10" s="146">
        <f>VLOOKUP(U10,Data!A:P,14,FALSE)</f>
        <v>23</v>
      </c>
      <c r="Y10" s="146">
        <f>VLOOKUP(U10,Data!A:P,15,FALSE)</f>
        <v>0</v>
      </c>
      <c r="Z10" s="148">
        <f>VLOOKUP(U10,Data!A:P,16,FALSE)</f>
        <v>1</v>
      </c>
      <c r="AB10" s="123" t="str">
        <f t="shared" si="6"/>
        <v>2021-03</v>
      </c>
      <c r="AC10" s="159">
        <f>VLOOKUP(AB10,Data!A:V,17,FALSE)</f>
        <v>50</v>
      </c>
      <c r="AD10" s="155">
        <f>VLOOKUP(AB10,Data!A:V,18,FALSE)</f>
        <v>0</v>
      </c>
      <c r="AE10" s="155">
        <f>VLOOKUP(AB10,Data!A:V,19,FALSE)</f>
        <v>0</v>
      </c>
      <c r="AF10" s="155">
        <f>VLOOKUP(AB10,Data!A:V,20,FALSE)</f>
        <v>6</v>
      </c>
      <c r="AG10" s="155">
        <f>VLOOKUP(AB10,Data!A:V,21,FALSE)</f>
        <v>0</v>
      </c>
      <c r="AH10" s="160">
        <f>VLOOKUP(AB10,Data!A:V,22,FALSE)</f>
        <v>1</v>
      </c>
      <c r="AJ10" s="188" t="str">
        <f t="shared" si="7"/>
        <v>2021-03</v>
      </c>
      <c r="AK10" s="190">
        <f t="shared" si="8"/>
        <v>7.9011159536172895E-2</v>
      </c>
      <c r="AL10" s="191">
        <f t="shared" si="9"/>
        <v>0</v>
      </c>
      <c r="AM10" s="191">
        <f t="shared" si="10"/>
        <v>0</v>
      </c>
      <c r="AN10" s="191">
        <f t="shared" si="11"/>
        <v>0.35454706612302783</v>
      </c>
      <c r="AO10" s="192">
        <f t="shared" si="12"/>
        <v>0</v>
      </c>
      <c r="AV10" t="s">
        <v>83</v>
      </c>
    </row>
    <row r="11" spans="1:50" x14ac:dyDescent="0.4">
      <c r="A11" s="42" t="s">
        <v>86</v>
      </c>
      <c r="B11" s="177">
        <f>VLOOKUP(A11,Data!A:B,2,FALSE)</f>
        <v>57</v>
      </c>
      <c r="C11" s="181">
        <f t="shared" si="0"/>
        <v>60.625</v>
      </c>
      <c r="D11" s="181">
        <f t="shared" si="1"/>
        <v>85.770538976820177</v>
      </c>
      <c r="E11" s="181">
        <f t="shared" si="2"/>
        <v>35.479461023179823</v>
      </c>
      <c r="F11" s="182"/>
      <c r="H11" s="123" t="str">
        <f t="shared" si="3"/>
        <v>2021-04</v>
      </c>
      <c r="I11" s="170">
        <f>VLOOKUP(H11,Data!A:H,3,FALSE)</f>
        <v>27</v>
      </c>
      <c r="J11" s="171">
        <f>VLOOKUP(H11,Data!A:H,4,FALSE)</f>
        <v>2</v>
      </c>
      <c r="K11" s="171">
        <f>VLOOKUP(H11,Data!A:H,5,FALSE)</f>
        <v>26</v>
      </c>
      <c r="L11" s="171">
        <f>VLOOKUP(H11,Data!A:H,6,FALSE)</f>
        <v>0</v>
      </c>
      <c r="M11" s="171">
        <f>VLOOKUP(H11,Data!A:H,7,FALSE)</f>
        <v>6</v>
      </c>
      <c r="N11" s="172">
        <f>VLOOKUP(H11,Data!A:H,8,FALSE)</f>
        <v>0</v>
      </c>
      <c r="P11" s="123" t="str">
        <f t="shared" si="4"/>
        <v>2021-04</v>
      </c>
      <c r="Q11" s="133">
        <f>VLOOKUP(P11,Data!A:K,9,FALSE)</f>
        <v>51</v>
      </c>
      <c r="R11" s="134">
        <f>VLOOKUP(P11,Data!A:K,10,FALSE)</f>
        <v>4</v>
      </c>
      <c r="S11" s="135">
        <f>VLOOKUP(P11,Data!A:K,11,FALSE)</f>
        <v>2</v>
      </c>
      <c r="U11" s="123" t="str">
        <f t="shared" si="5"/>
        <v>2021-04</v>
      </c>
      <c r="V11" s="147">
        <f>VLOOKUP(U11,Data!A:P,12,FALSE)</f>
        <v>6</v>
      </c>
      <c r="W11" s="146">
        <f>VLOOKUP(U11,Data!A:P,13,FALSE)</f>
        <v>27</v>
      </c>
      <c r="X11" s="146">
        <f>VLOOKUP(U11,Data!A:P,14,FALSE)</f>
        <v>20</v>
      </c>
      <c r="Y11" s="146">
        <f>VLOOKUP(U11,Data!A:P,15,FALSE)</f>
        <v>2</v>
      </c>
      <c r="Z11" s="148">
        <f>VLOOKUP(U11,Data!A:P,16,FALSE)</f>
        <v>2</v>
      </c>
      <c r="AB11" s="123" t="str">
        <f t="shared" si="6"/>
        <v>2021-04</v>
      </c>
      <c r="AC11" s="159">
        <f>VLOOKUP(AB11,Data!A:V,17,FALSE)</f>
        <v>41</v>
      </c>
      <c r="AD11" s="155">
        <f>VLOOKUP(AB11,Data!A:V,18,FALSE)</f>
        <v>1</v>
      </c>
      <c r="AE11" s="155">
        <f>VLOOKUP(AB11,Data!A:V,19,FALSE)</f>
        <v>1</v>
      </c>
      <c r="AF11" s="155">
        <f>VLOOKUP(AB11,Data!A:V,20,FALSE)</f>
        <v>11</v>
      </c>
      <c r="AG11" s="155">
        <f>VLOOKUP(AB11,Data!A:V,21,FALSE)</f>
        <v>0</v>
      </c>
      <c r="AH11" s="160">
        <f>VLOOKUP(AB11,Data!A:V,22,FALSE)</f>
        <v>3</v>
      </c>
      <c r="AJ11" s="188" t="str">
        <f t="shared" si="7"/>
        <v>2021-04</v>
      </c>
      <c r="AK11" s="190">
        <f t="shared" si="8"/>
        <v>6.4789150819661759E-2</v>
      </c>
      <c r="AL11" s="191">
        <f t="shared" si="9"/>
        <v>7.0511916513890854E-2</v>
      </c>
      <c r="AM11" s="191">
        <f t="shared" si="10"/>
        <v>3.9328273095528374E-2</v>
      </c>
      <c r="AN11" s="191">
        <f t="shared" si="11"/>
        <v>0.65000295455888446</v>
      </c>
      <c r="AO11" s="192">
        <f t="shared" si="12"/>
        <v>0</v>
      </c>
    </row>
    <row r="12" spans="1:50" x14ac:dyDescent="0.4">
      <c r="A12" s="43" t="s">
        <v>87</v>
      </c>
      <c r="B12" s="177">
        <f>VLOOKUP(A12,Data!A:B,2,FALSE)</f>
        <v>60</v>
      </c>
      <c r="C12" s="181">
        <f t="shared" si="0"/>
        <v>60.625</v>
      </c>
      <c r="D12" s="181">
        <f t="shared" si="1"/>
        <v>85.770538976820177</v>
      </c>
      <c r="E12" s="181">
        <f t="shared" si="2"/>
        <v>35.479461023179823</v>
      </c>
      <c r="F12" s="182"/>
      <c r="H12" s="123" t="str">
        <f t="shared" si="3"/>
        <v>2021-05</v>
      </c>
      <c r="I12" s="170">
        <f>VLOOKUP(H12,Data!A:H,3,FALSE)</f>
        <v>24</v>
      </c>
      <c r="J12" s="171">
        <f>VLOOKUP(H12,Data!A:H,4,FALSE)</f>
        <v>10</v>
      </c>
      <c r="K12" s="171">
        <f>VLOOKUP(H12,Data!A:H,5,FALSE)</f>
        <v>28</v>
      </c>
      <c r="L12" s="171">
        <f>VLOOKUP(H12,Data!A:H,6,FALSE)</f>
        <v>0</v>
      </c>
      <c r="M12" s="171">
        <f>VLOOKUP(H12,Data!A:H,7,FALSE)</f>
        <v>2</v>
      </c>
      <c r="N12" s="172">
        <f>VLOOKUP(H12,Data!A:H,8,FALSE)</f>
        <v>0</v>
      </c>
      <c r="P12" s="123" t="str">
        <f t="shared" si="4"/>
        <v>2021-05</v>
      </c>
      <c r="Q12" s="133">
        <f>VLOOKUP(P12,Data!A:K,9,FALSE)</f>
        <v>56</v>
      </c>
      <c r="R12" s="134">
        <f>VLOOKUP(P12,Data!A:K,10,FALSE)</f>
        <v>3</v>
      </c>
      <c r="S12" s="135">
        <f>VLOOKUP(P12,Data!A:K,11,FALSE)</f>
        <v>1</v>
      </c>
      <c r="U12" s="123" t="str">
        <f t="shared" si="5"/>
        <v>2021-05</v>
      </c>
      <c r="V12" s="147">
        <f>VLOOKUP(U12,Data!A:P,12,FALSE)</f>
        <v>9</v>
      </c>
      <c r="W12" s="146">
        <f>VLOOKUP(U12,Data!A:P,13,FALSE)</f>
        <v>20</v>
      </c>
      <c r="X12" s="146">
        <f>VLOOKUP(U12,Data!A:P,14,FALSE)</f>
        <v>30</v>
      </c>
      <c r="Y12" s="146">
        <f>VLOOKUP(U12,Data!A:P,15,FALSE)</f>
        <v>0</v>
      </c>
      <c r="Z12" s="148">
        <f>VLOOKUP(U12,Data!A:P,16,FALSE)</f>
        <v>1</v>
      </c>
      <c r="AB12" s="123" t="str">
        <f t="shared" si="6"/>
        <v>2021-05</v>
      </c>
      <c r="AC12" s="159">
        <f>VLOOKUP(AB12,Data!A:V,17,FALSE)</f>
        <v>48</v>
      </c>
      <c r="AD12" s="155">
        <f>VLOOKUP(AB12,Data!A:V,18,FALSE)</f>
        <v>2</v>
      </c>
      <c r="AE12" s="155">
        <f>VLOOKUP(AB12,Data!A:V,19,FALSE)</f>
        <v>2</v>
      </c>
      <c r="AF12" s="155">
        <f>VLOOKUP(AB12,Data!A:V,20,FALSE)</f>
        <v>6</v>
      </c>
      <c r="AG12" s="155">
        <f>VLOOKUP(AB12,Data!A:V,21,FALSE)</f>
        <v>1</v>
      </c>
      <c r="AH12" s="160">
        <f>VLOOKUP(AB12,Data!A:V,22,FALSE)</f>
        <v>1</v>
      </c>
      <c r="AJ12" s="188" t="str">
        <f t="shared" si="7"/>
        <v>2021-05</v>
      </c>
      <c r="AK12" s="190">
        <f t="shared" si="8"/>
        <v>7.5850713154725968E-2</v>
      </c>
      <c r="AL12" s="191">
        <f t="shared" si="9"/>
        <v>0.14102383302778171</v>
      </c>
      <c r="AM12" s="191">
        <f t="shared" si="10"/>
        <v>7.8656546191056748E-2</v>
      </c>
      <c r="AN12" s="191">
        <f t="shared" si="11"/>
        <v>0.35454706612302783</v>
      </c>
      <c r="AO12" s="192">
        <f t="shared" si="12"/>
        <v>0.38491147036181678</v>
      </c>
    </row>
    <row r="13" spans="1:50" x14ac:dyDescent="0.4">
      <c r="A13" s="43" t="s">
        <v>106</v>
      </c>
      <c r="B13" s="177">
        <f>VLOOKUP(A13,Data!A:B,2,FALSE)</f>
        <v>72</v>
      </c>
      <c r="C13" s="181">
        <f t="shared" si="0"/>
        <v>60.625</v>
      </c>
      <c r="D13" s="181">
        <f t="shared" si="1"/>
        <v>85.770538976820177</v>
      </c>
      <c r="E13" s="181">
        <f t="shared" si="2"/>
        <v>35.479461023179823</v>
      </c>
      <c r="F13" s="182"/>
      <c r="H13" s="123" t="str">
        <f t="shared" si="3"/>
        <v>2021-06</v>
      </c>
      <c r="I13" s="170">
        <f>VLOOKUP(H13,Data!A:H,3,FALSE)</f>
        <v>24</v>
      </c>
      <c r="J13" s="171">
        <f>VLOOKUP(H13,Data!A:H,4,FALSE)</f>
        <v>12</v>
      </c>
      <c r="K13" s="171">
        <f>VLOOKUP(H13,Data!A:H,5,FALSE)</f>
        <v>31</v>
      </c>
      <c r="L13" s="171">
        <f>VLOOKUP(H13,Data!A:H,6,FALSE)</f>
        <v>1</v>
      </c>
      <c r="M13" s="171">
        <f>VLOOKUP(H13,Data!A:H,7,FALSE)</f>
        <v>4</v>
      </c>
      <c r="N13" s="172">
        <f>VLOOKUP(H13,Data!A:H,8,FALSE)</f>
        <v>0</v>
      </c>
      <c r="P13" s="123" t="str">
        <f t="shared" si="4"/>
        <v>2021-06</v>
      </c>
      <c r="Q13" s="133">
        <f>VLOOKUP(P13,Data!A:K,9,FALSE)</f>
        <v>62</v>
      </c>
      <c r="R13" s="134">
        <f>VLOOKUP(P13,Data!A:K,10,FALSE)</f>
        <v>7</v>
      </c>
      <c r="S13" s="135">
        <f>VLOOKUP(P13,Data!A:K,11,FALSE)</f>
        <v>3</v>
      </c>
      <c r="U13" s="123" t="str">
        <f t="shared" si="5"/>
        <v>2021-06</v>
      </c>
      <c r="V13" s="147">
        <f>VLOOKUP(U13,Data!A:P,12,FALSE)</f>
        <v>10</v>
      </c>
      <c r="W13" s="146">
        <f>VLOOKUP(U13,Data!A:P,13,FALSE)</f>
        <v>26</v>
      </c>
      <c r="X13" s="146">
        <f>VLOOKUP(U13,Data!A:P,14,FALSE)</f>
        <v>32</v>
      </c>
      <c r="Y13" s="146">
        <f>VLOOKUP(U13,Data!A:P,15,FALSE)</f>
        <v>2</v>
      </c>
      <c r="Z13" s="148">
        <f>VLOOKUP(U13,Data!A:P,16,FALSE)</f>
        <v>0</v>
      </c>
      <c r="AB13" s="123" t="str">
        <f t="shared" si="6"/>
        <v>2021-06</v>
      </c>
      <c r="AC13" s="159">
        <f>VLOOKUP(AB13,Data!A:V,17,FALSE)</f>
        <v>49</v>
      </c>
      <c r="AD13" s="155">
        <f>VLOOKUP(AB13,Data!A:V,18,FALSE)</f>
        <v>4</v>
      </c>
      <c r="AE13" s="155">
        <f>VLOOKUP(AB13,Data!A:V,19,FALSE)</f>
        <v>0</v>
      </c>
      <c r="AF13" s="155">
        <f>VLOOKUP(AB13,Data!A:V,20,FALSE)</f>
        <v>16</v>
      </c>
      <c r="AG13" s="155">
        <f>VLOOKUP(AB13,Data!A:V,21,FALSE)</f>
        <v>0</v>
      </c>
      <c r="AH13" s="160">
        <f>VLOOKUP(AB13,Data!A:V,22,FALSE)</f>
        <v>3</v>
      </c>
      <c r="AJ13" s="188" t="str">
        <f t="shared" si="7"/>
        <v>2021-06</v>
      </c>
      <c r="AK13" s="190">
        <f t="shared" si="8"/>
        <v>7.7430936345449425E-2</v>
      </c>
      <c r="AL13" s="191">
        <f t="shared" si="9"/>
        <v>0.28204766605556342</v>
      </c>
      <c r="AM13" s="191">
        <f t="shared" si="10"/>
        <v>0</v>
      </c>
      <c r="AN13" s="191">
        <f t="shared" si="11"/>
        <v>0.94545884299474092</v>
      </c>
      <c r="AO13" s="192">
        <f t="shared" si="12"/>
        <v>0</v>
      </c>
    </row>
    <row r="14" spans="1:50" x14ac:dyDescent="0.4">
      <c r="A14" s="43" t="s">
        <v>107</v>
      </c>
      <c r="B14" s="177">
        <f>VLOOKUP(A14,Data!A:B,2,FALSE)</f>
        <v>60</v>
      </c>
      <c r="C14" s="181">
        <f t="shared" si="0"/>
        <v>60.625</v>
      </c>
      <c r="D14" s="181">
        <f t="shared" si="1"/>
        <v>85.770538976820177</v>
      </c>
      <c r="E14" s="181">
        <f t="shared" si="2"/>
        <v>35.479461023179823</v>
      </c>
      <c r="F14" s="182"/>
      <c r="H14" s="123" t="str">
        <f t="shared" si="3"/>
        <v>2021-07</v>
      </c>
      <c r="I14" s="170">
        <f>VLOOKUP(H14,Data!A:H,3,FALSE)</f>
        <v>17</v>
      </c>
      <c r="J14" s="171">
        <f>VLOOKUP(H14,Data!A:H,4,FALSE)</f>
        <v>7</v>
      </c>
      <c r="K14" s="171">
        <f>VLOOKUP(H14,Data!A:H,5,FALSE)</f>
        <v>32</v>
      </c>
      <c r="L14" s="171">
        <f>VLOOKUP(H14,Data!A:H,6,FALSE)</f>
        <v>2</v>
      </c>
      <c r="M14" s="171">
        <f>VLOOKUP(H14,Data!A:H,7,FALSE)</f>
        <v>4</v>
      </c>
      <c r="N14" s="172">
        <f>VLOOKUP(H14,Data!A:H,8,FALSE)</f>
        <v>0</v>
      </c>
      <c r="P14" s="123" t="str">
        <f t="shared" si="4"/>
        <v>2021-07</v>
      </c>
      <c r="Q14" s="133">
        <f>VLOOKUP(P14,Data!A:K,9,FALSE)</f>
        <v>60</v>
      </c>
      <c r="R14" s="134">
        <f>VLOOKUP(P14,Data!A:K,10,FALSE)</f>
        <v>0</v>
      </c>
      <c r="S14" s="135">
        <f>VLOOKUP(P14,Data!A:K,11,FALSE)</f>
        <v>0</v>
      </c>
      <c r="U14" s="123" t="str">
        <f t="shared" si="5"/>
        <v>2021-07</v>
      </c>
      <c r="V14" s="147">
        <f>VLOOKUP(U14,Data!A:P,12,FALSE)</f>
        <v>5</v>
      </c>
      <c r="W14" s="146">
        <f>VLOOKUP(U14,Data!A:P,13,FALSE)</f>
        <v>25</v>
      </c>
      <c r="X14" s="146">
        <f>VLOOKUP(U14,Data!A:P,14,FALSE)</f>
        <v>28</v>
      </c>
      <c r="Y14" s="146">
        <f>VLOOKUP(U14,Data!A:P,15,FALSE)</f>
        <v>1</v>
      </c>
      <c r="Z14" s="148">
        <f>VLOOKUP(U14,Data!A:P,16,FALSE)</f>
        <v>1</v>
      </c>
      <c r="AB14" s="123" t="str">
        <f t="shared" si="6"/>
        <v>2021-07</v>
      </c>
      <c r="AC14" s="159">
        <f>VLOOKUP(AB14,Data!A:V,17,FALSE)</f>
        <v>41</v>
      </c>
      <c r="AD14" s="155">
        <f>VLOOKUP(AB14,Data!A:V,18,FALSE)</f>
        <v>2</v>
      </c>
      <c r="AE14" s="155">
        <f>VLOOKUP(AB14,Data!A:V,19,FALSE)</f>
        <v>1</v>
      </c>
      <c r="AF14" s="155">
        <f>VLOOKUP(AB14,Data!A:V,20,FALSE)</f>
        <v>13</v>
      </c>
      <c r="AG14" s="155">
        <f>VLOOKUP(AB14,Data!A:V,21,FALSE)</f>
        <v>1</v>
      </c>
      <c r="AH14" s="160">
        <f>VLOOKUP(AB14,Data!A:V,22,FALSE)</f>
        <v>2</v>
      </c>
      <c r="AJ14" s="188" t="str">
        <f t="shared" si="7"/>
        <v>2021-07</v>
      </c>
      <c r="AK14" s="190">
        <f t="shared" si="8"/>
        <v>6.4789150819661759E-2</v>
      </c>
      <c r="AL14" s="191">
        <f t="shared" si="9"/>
        <v>0.14102383302778171</v>
      </c>
      <c r="AM14" s="191">
        <f t="shared" si="10"/>
        <v>3.9328273095528374E-2</v>
      </c>
      <c r="AN14" s="191">
        <f t="shared" si="11"/>
        <v>0.76818530993322698</v>
      </c>
      <c r="AO14" s="192">
        <f t="shared" si="12"/>
        <v>0.38491147036181678</v>
      </c>
    </row>
    <row r="15" spans="1:50" x14ac:dyDescent="0.4">
      <c r="A15" s="43" t="s">
        <v>108</v>
      </c>
      <c r="B15" s="177">
        <f>VLOOKUP(A15,Data!A:B,2,FALSE)</f>
        <v>77</v>
      </c>
      <c r="C15" s="181">
        <f t="shared" si="0"/>
        <v>60.625</v>
      </c>
      <c r="D15" s="181">
        <f t="shared" si="1"/>
        <v>85.770538976820177</v>
      </c>
      <c r="E15" s="181">
        <f t="shared" si="2"/>
        <v>35.479461023179823</v>
      </c>
      <c r="F15" s="182"/>
      <c r="H15" s="123" t="str">
        <f t="shared" si="3"/>
        <v>2021-08</v>
      </c>
      <c r="I15" s="170">
        <f>VLOOKUP(H15,Data!A:H,3,FALSE)</f>
        <v>23</v>
      </c>
      <c r="J15" s="171">
        <f>VLOOKUP(H15,Data!A:H,4,FALSE)</f>
        <v>6</v>
      </c>
      <c r="K15" s="171">
        <f>VLOOKUP(H15,Data!A:H,5,FALSE)</f>
        <v>37</v>
      </c>
      <c r="L15" s="171">
        <f>VLOOKUP(H15,Data!A:H,6,FALSE)</f>
        <v>1</v>
      </c>
      <c r="M15" s="171">
        <f>VLOOKUP(H15,Data!A:H,7,FALSE)</f>
        <v>5</v>
      </c>
      <c r="N15" s="172">
        <f>VLOOKUP(H15,Data!A:H,8,FALSE)</f>
        <v>0</v>
      </c>
      <c r="P15" s="123" t="str">
        <f t="shared" si="4"/>
        <v>2021-08</v>
      </c>
      <c r="Q15" s="133">
        <f>VLOOKUP(P15,Data!A:K,9,FALSE)</f>
        <v>69</v>
      </c>
      <c r="R15" s="134">
        <f>VLOOKUP(P15,Data!A:K,10,FALSE)</f>
        <v>8</v>
      </c>
      <c r="S15" s="135">
        <f>VLOOKUP(P15,Data!A:K,11,FALSE)</f>
        <v>0</v>
      </c>
      <c r="U15" s="123" t="str">
        <f t="shared" si="5"/>
        <v>2021-08</v>
      </c>
      <c r="V15" s="147">
        <f>VLOOKUP(U15,Data!A:P,12,FALSE)</f>
        <v>10</v>
      </c>
      <c r="W15" s="146">
        <f>VLOOKUP(U15,Data!A:P,13,FALSE)</f>
        <v>26</v>
      </c>
      <c r="X15" s="146">
        <f>VLOOKUP(U15,Data!A:P,14,FALSE)</f>
        <v>35</v>
      </c>
      <c r="Y15" s="146">
        <f>VLOOKUP(U15,Data!A:P,15,FALSE)</f>
        <v>1</v>
      </c>
      <c r="Z15" s="148">
        <f>VLOOKUP(U15,Data!A:P,16,FALSE)</f>
        <v>5</v>
      </c>
      <c r="AB15" s="123" t="str">
        <f t="shared" si="6"/>
        <v>2021-08</v>
      </c>
      <c r="AC15" s="159">
        <f>VLOOKUP(AB15,Data!A:V,17,FALSE)</f>
        <v>51</v>
      </c>
      <c r="AD15" s="155">
        <f>VLOOKUP(AB15,Data!A:V,18,FALSE)</f>
        <v>3</v>
      </c>
      <c r="AE15" s="155">
        <f>VLOOKUP(AB15,Data!A:V,19,FALSE)</f>
        <v>3</v>
      </c>
      <c r="AF15" s="155">
        <f>VLOOKUP(AB15,Data!A:V,20,FALSE)</f>
        <v>17</v>
      </c>
      <c r="AG15" s="155">
        <f>VLOOKUP(AB15,Data!A:V,21,FALSE)</f>
        <v>0</v>
      </c>
      <c r="AH15" s="160">
        <f>VLOOKUP(AB15,Data!A:V,22,FALSE)</f>
        <v>3</v>
      </c>
      <c r="AJ15" s="188" t="str">
        <f t="shared" si="7"/>
        <v>2021-08</v>
      </c>
      <c r="AK15" s="190">
        <f t="shared" si="8"/>
        <v>8.0591382726896352E-2</v>
      </c>
      <c r="AL15" s="191">
        <f t="shared" si="9"/>
        <v>0.21153574954167254</v>
      </c>
      <c r="AM15" s="191">
        <f t="shared" si="10"/>
        <v>0.11798481928658512</v>
      </c>
      <c r="AN15" s="191">
        <f t="shared" si="11"/>
        <v>1.0045500206819122</v>
      </c>
      <c r="AO15" s="192">
        <f t="shared" si="12"/>
        <v>0</v>
      </c>
    </row>
    <row r="16" spans="1:50" x14ac:dyDescent="0.4">
      <c r="A16" s="43" t="s">
        <v>109</v>
      </c>
      <c r="B16" s="177">
        <f>VLOOKUP(A16,Data!A:B,2,FALSE)</f>
        <v>60</v>
      </c>
      <c r="C16" s="181">
        <f t="shared" si="0"/>
        <v>60.625</v>
      </c>
      <c r="D16" s="181">
        <f t="shared" si="1"/>
        <v>85.770538976820177</v>
      </c>
      <c r="E16" s="181">
        <f t="shared" si="2"/>
        <v>35.479461023179823</v>
      </c>
      <c r="F16" s="182"/>
      <c r="H16" s="123" t="str">
        <f t="shared" si="3"/>
        <v>2021-09</v>
      </c>
      <c r="I16" s="170">
        <f>VLOOKUP(H16,Data!A:H,3,FALSE)</f>
        <v>18</v>
      </c>
      <c r="J16" s="171">
        <f>VLOOKUP(H16,Data!A:H,4,FALSE)</f>
        <v>6</v>
      </c>
      <c r="K16" s="171">
        <f>VLOOKUP(H16,Data!A:H,5,FALSE)</f>
        <v>32</v>
      </c>
      <c r="L16" s="171">
        <f>VLOOKUP(H16,Data!A:H,6,FALSE)</f>
        <v>2</v>
      </c>
      <c r="M16" s="171">
        <f>VLOOKUP(H16,Data!A:H,7,FALSE)</f>
        <v>2</v>
      </c>
      <c r="N16" s="172">
        <f>VLOOKUP(H16,Data!A:H,8,FALSE)</f>
        <v>0</v>
      </c>
      <c r="P16" s="123" t="str">
        <f t="shared" si="4"/>
        <v>2021-09</v>
      </c>
      <c r="Q16" s="133">
        <f>VLOOKUP(P16,Data!A:K,9,FALSE)</f>
        <v>50</v>
      </c>
      <c r="R16" s="134">
        <f>VLOOKUP(P16,Data!A:K,10,FALSE)</f>
        <v>9</v>
      </c>
      <c r="S16" s="135">
        <f>VLOOKUP(P16,Data!A:K,11,FALSE)</f>
        <v>1</v>
      </c>
      <c r="U16" s="123" t="str">
        <f t="shared" si="5"/>
        <v>2021-09</v>
      </c>
      <c r="V16" s="147">
        <f>VLOOKUP(U16,Data!A:P,12,FALSE)</f>
        <v>6</v>
      </c>
      <c r="W16" s="146">
        <f>VLOOKUP(U16,Data!A:P,13,FALSE)</f>
        <v>22</v>
      </c>
      <c r="X16" s="146">
        <f>VLOOKUP(U16,Data!A:P,14,FALSE)</f>
        <v>31</v>
      </c>
      <c r="Y16" s="146">
        <f>VLOOKUP(U16,Data!A:P,15,FALSE)</f>
        <v>1</v>
      </c>
      <c r="Z16" s="148">
        <f>VLOOKUP(U16,Data!A:P,16,FALSE)</f>
        <v>0</v>
      </c>
      <c r="AB16" s="123" t="str">
        <f t="shared" si="6"/>
        <v>2021-09</v>
      </c>
      <c r="AC16" s="159">
        <f>VLOOKUP(AB16,Data!A:V,17,FALSE)</f>
        <v>50</v>
      </c>
      <c r="AD16" s="155">
        <f>VLOOKUP(AB16,Data!A:V,18,FALSE)</f>
        <v>3</v>
      </c>
      <c r="AE16" s="155">
        <f>VLOOKUP(AB16,Data!A:V,19,FALSE)</f>
        <v>1</v>
      </c>
      <c r="AF16" s="155">
        <f>VLOOKUP(AB16,Data!A:V,20,FALSE)</f>
        <v>5</v>
      </c>
      <c r="AG16" s="155">
        <f>VLOOKUP(AB16,Data!A:V,21,FALSE)</f>
        <v>0</v>
      </c>
      <c r="AH16" s="160">
        <f>VLOOKUP(AB16,Data!A:V,22,FALSE)</f>
        <v>1</v>
      </c>
      <c r="AJ16" s="188" t="str">
        <f t="shared" si="7"/>
        <v>2021-09</v>
      </c>
      <c r="AK16" s="190">
        <f t="shared" si="8"/>
        <v>7.9011159536172895E-2</v>
      </c>
      <c r="AL16" s="191">
        <f t="shared" si="9"/>
        <v>0.21153574954167254</v>
      </c>
      <c r="AM16" s="191">
        <f t="shared" si="10"/>
        <v>3.9328273095528374E-2</v>
      </c>
      <c r="AN16" s="191">
        <f t="shared" si="11"/>
        <v>0.29545588843585652</v>
      </c>
      <c r="AO16" s="192">
        <f t="shared" si="12"/>
        <v>0</v>
      </c>
    </row>
    <row r="17" spans="1:48" x14ac:dyDescent="0.4">
      <c r="A17" s="43" t="s">
        <v>111</v>
      </c>
      <c r="B17" s="177">
        <f>VLOOKUP(A17,Data!A:B,2,FALSE)</f>
        <v>57</v>
      </c>
      <c r="C17" s="181">
        <f t="shared" si="0"/>
        <v>60.625</v>
      </c>
      <c r="D17" s="181">
        <f t="shared" si="1"/>
        <v>85.770538976820177</v>
      </c>
      <c r="E17" s="181">
        <f t="shared" si="2"/>
        <v>35.479461023179823</v>
      </c>
      <c r="F17" s="182"/>
      <c r="H17" s="123" t="str">
        <f t="shared" si="3"/>
        <v>2021-10</v>
      </c>
      <c r="I17" s="170">
        <f>VLOOKUP(H17,Data!A:H,3,FALSE)</f>
        <v>15</v>
      </c>
      <c r="J17" s="171">
        <f>VLOOKUP(H17,Data!A:H,4,FALSE)</f>
        <v>3</v>
      </c>
      <c r="K17" s="171">
        <f>VLOOKUP(H17,Data!A:H,5,FALSE)</f>
        <v>29</v>
      </c>
      <c r="L17" s="171">
        <f>VLOOKUP(H17,Data!A:H,6,FALSE)</f>
        <v>1</v>
      </c>
      <c r="M17" s="171">
        <f>VLOOKUP(H17,Data!A:H,7,FALSE)</f>
        <v>4</v>
      </c>
      <c r="N17" s="172">
        <f>VLOOKUP(H17,Data!A:H,8,FALSE)</f>
        <v>0</v>
      </c>
      <c r="P17" s="123" t="str">
        <f t="shared" si="4"/>
        <v>2021-10</v>
      </c>
      <c r="Q17" s="133">
        <f>VLOOKUP(P17,Data!A:K,9,FALSE)</f>
        <v>50</v>
      </c>
      <c r="R17" s="134">
        <f>VLOOKUP(P17,Data!A:K,10,FALSE)</f>
        <v>6</v>
      </c>
      <c r="S17" s="135">
        <f>VLOOKUP(P17,Data!A:K,11,FALSE)</f>
        <v>1</v>
      </c>
      <c r="U17" s="123" t="str">
        <f t="shared" si="5"/>
        <v>2021-10</v>
      </c>
      <c r="V17" s="147">
        <f>VLOOKUP(U17,Data!A:P,12,FALSE)</f>
        <v>8</v>
      </c>
      <c r="W17" s="146">
        <f>VLOOKUP(U17,Data!A:P,13,FALSE)</f>
        <v>24</v>
      </c>
      <c r="X17" s="146">
        <f>VLOOKUP(U17,Data!A:P,14,FALSE)</f>
        <v>25</v>
      </c>
      <c r="Y17" s="146">
        <f>VLOOKUP(U17,Data!A:P,15,FALSE)</f>
        <v>0</v>
      </c>
      <c r="Z17" s="148">
        <f>VLOOKUP(U17,Data!A:P,16,FALSE)</f>
        <v>0</v>
      </c>
      <c r="AB17" s="123" t="str">
        <f t="shared" si="6"/>
        <v>2021-10</v>
      </c>
      <c r="AC17" s="159">
        <f>VLOOKUP(AB17,Data!A:V,17,FALSE)</f>
        <v>45</v>
      </c>
      <c r="AD17" s="155">
        <f>VLOOKUP(AB17,Data!A:V,18,FALSE)</f>
        <v>0</v>
      </c>
      <c r="AE17" s="155">
        <f>VLOOKUP(AB17,Data!A:V,19,FALSE)</f>
        <v>2</v>
      </c>
      <c r="AF17" s="155">
        <f>VLOOKUP(AB17,Data!A:V,20,FALSE)</f>
        <v>7</v>
      </c>
      <c r="AG17" s="155">
        <f>VLOOKUP(AB17,Data!A:V,21,FALSE)</f>
        <v>0</v>
      </c>
      <c r="AH17" s="160">
        <f>VLOOKUP(AB17,Data!A:V,22,FALSE)</f>
        <v>3</v>
      </c>
      <c r="AJ17" s="188" t="str">
        <f t="shared" si="7"/>
        <v>2021-10</v>
      </c>
      <c r="AK17" s="190">
        <f t="shared" si="8"/>
        <v>7.1110043582555599E-2</v>
      </c>
      <c r="AL17" s="191">
        <f t="shared" si="9"/>
        <v>0</v>
      </c>
      <c r="AM17" s="191">
        <f t="shared" si="10"/>
        <v>7.8656546191056748E-2</v>
      </c>
      <c r="AN17" s="191">
        <f t="shared" si="11"/>
        <v>0.41363824381019915</v>
      </c>
      <c r="AO17" s="192">
        <f t="shared" si="12"/>
        <v>0</v>
      </c>
    </row>
    <row r="18" spans="1:48" x14ac:dyDescent="0.4">
      <c r="A18" s="43" t="s">
        <v>113</v>
      </c>
      <c r="B18" s="177">
        <f>VLOOKUP(A18,Data!A:B,2,FALSE)</f>
        <v>40</v>
      </c>
      <c r="C18" s="181">
        <f t="shared" si="0"/>
        <v>60.625</v>
      </c>
      <c r="D18" s="181">
        <f t="shared" si="1"/>
        <v>85.770538976820177</v>
      </c>
      <c r="E18" s="181">
        <f t="shared" si="2"/>
        <v>35.479461023179823</v>
      </c>
      <c r="F18" s="182"/>
      <c r="H18" s="123" t="str">
        <f t="shared" si="3"/>
        <v>2021-11</v>
      </c>
      <c r="I18" s="170">
        <f>VLOOKUP(H18,Data!A:H,3,FALSE)</f>
        <v>13</v>
      </c>
      <c r="J18" s="171">
        <f>VLOOKUP(H18,Data!A:H,4,FALSE)</f>
        <v>3</v>
      </c>
      <c r="K18" s="171">
        <f>VLOOKUP(H18,Data!A:H,5,FALSE)</f>
        <v>19</v>
      </c>
      <c r="L18" s="171">
        <f>VLOOKUP(H18,Data!A:H,6,FALSE)</f>
        <v>0</v>
      </c>
      <c r="M18" s="171">
        <f>VLOOKUP(H18,Data!A:H,7,FALSE)</f>
        <v>2</v>
      </c>
      <c r="N18" s="172">
        <f>VLOOKUP(H18,Data!A:H,8,FALSE)</f>
        <v>0</v>
      </c>
      <c r="P18" s="123" t="str">
        <f t="shared" si="4"/>
        <v>2021-11</v>
      </c>
      <c r="Q18" s="133">
        <f>VLOOKUP(P18,Data!A:K,9,FALSE)</f>
        <v>34</v>
      </c>
      <c r="R18" s="134">
        <f>VLOOKUP(P18,Data!A:K,10,FALSE)</f>
        <v>6</v>
      </c>
      <c r="S18" s="135">
        <f>VLOOKUP(P18,Data!A:K,11,FALSE)</f>
        <v>0</v>
      </c>
      <c r="U18" s="123" t="str">
        <f t="shared" si="5"/>
        <v>2021-11</v>
      </c>
      <c r="V18" s="147">
        <f>VLOOKUP(U18,Data!A:P,12,FALSE)</f>
        <v>4</v>
      </c>
      <c r="W18" s="146">
        <f>VLOOKUP(U18,Data!A:P,13,FALSE)</f>
        <v>15</v>
      </c>
      <c r="X18" s="146">
        <f>VLOOKUP(U18,Data!A:P,14,FALSE)</f>
        <v>20</v>
      </c>
      <c r="Y18" s="146">
        <f>VLOOKUP(U18,Data!A:P,15,FALSE)</f>
        <v>1</v>
      </c>
      <c r="Z18" s="148">
        <f>VLOOKUP(U18,Data!A:P,16,FALSE)</f>
        <v>0</v>
      </c>
      <c r="AB18" s="123" t="str">
        <f t="shared" si="6"/>
        <v>2021-11</v>
      </c>
      <c r="AC18" s="159">
        <f>VLOOKUP(AB18,Data!A:V,17,FALSE)</f>
        <v>34</v>
      </c>
      <c r="AD18" s="155">
        <f>VLOOKUP(AB18,Data!A:V,18,FALSE)</f>
        <v>2</v>
      </c>
      <c r="AE18" s="155">
        <f>VLOOKUP(AB18,Data!A:V,19,FALSE)</f>
        <v>2</v>
      </c>
      <c r="AF18" s="155">
        <f>VLOOKUP(AB18,Data!A:V,20,FALSE)</f>
        <v>2</v>
      </c>
      <c r="AG18" s="155">
        <f>VLOOKUP(AB18,Data!A:V,21,FALSE)</f>
        <v>0</v>
      </c>
      <c r="AH18" s="160">
        <f>VLOOKUP(AB18,Data!A:V,22,FALSE)</f>
        <v>0</v>
      </c>
      <c r="AJ18" s="188" t="str">
        <f t="shared" si="7"/>
        <v>2021-11</v>
      </c>
      <c r="AK18" s="190">
        <f t="shared" si="8"/>
        <v>5.3727588484597563E-2</v>
      </c>
      <c r="AL18" s="191">
        <f t="shared" si="9"/>
        <v>0.14102383302778171</v>
      </c>
      <c r="AM18" s="191">
        <f t="shared" si="10"/>
        <v>7.8656546191056748E-2</v>
      </c>
      <c r="AN18" s="191">
        <f t="shared" si="11"/>
        <v>0.11818235537434262</v>
      </c>
      <c r="AO18" s="192">
        <f t="shared" si="12"/>
        <v>0</v>
      </c>
    </row>
    <row r="19" spans="1:48" x14ac:dyDescent="0.4">
      <c r="A19" s="43" t="s">
        <v>114</v>
      </c>
      <c r="B19" s="177">
        <f>VLOOKUP(A19,Data!A:B,2,FALSE)</f>
        <v>64</v>
      </c>
      <c r="C19" s="181">
        <f t="shared" si="0"/>
        <v>60.625</v>
      </c>
      <c r="D19" s="181">
        <f t="shared" si="1"/>
        <v>85.770538976820177</v>
      </c>
      <c r="E19" s="181">
        <f t="shared" si="2"/>
        <v>35.479461023179823</v>
      </c>
      <c r="F19" s="182"/>
      <c r="H19" s="123" t="str">
        <f t="shared" si="3"/>
        <v>2021-12</v>
      </c>
      <c r="I19" s="170">
        <f>VLOOKUP(H19,Data!A:H,3,FALSE)</f>
        <v>22</v>
      </c>
      <c r="J19" s="171">
        <f>VLOOKUP(H19,Data!A:H,4,FALSE)</f>
        <v>4</v>
      </c>
      <c r="K19" s="171">
        <f>VLOOKUP(H19,Data!A:H,5,FALSE)</f>
        <v>26</v>
      </c>
      <c r="L19" s="171">
        <f>VLOOKUP(H19,Data!A:H,6,FALSE)</f>
        <v>2</v>
      </c>
      <c r="M19" s="171">
        <f>VLOOKUP(H19,Data!A:H,7,FALSE)</f>
        <v>6</v>
      </c>
      <c r="N19" s="172">
        <f>VLOOKUP(H19,Data!A:H,8,FALSE)</f>
        <v>0</v>
      </c>
      <c r="P19" s="123" t="str">
        <f t="shared" si="4"/>
        <v>2021-12</v>
      </c>
      <c r="Q19" s="133">
        <f>VLOOKUP(P19,Data!A:K,9,FALSE)</f>
        <v>57</v>
      </c>
      <c r="R19" s="134">
        <f>VLOOKUP(P19,Data!A:K,10,FALSE)</f>
        <v>7</v>
      </c>
      <c r="S19" s="135">
        <f>VLOOKUP(P19,Data!A:K,11,FALSE)</f>
        <v>0</v>
      </c>
      <c r="U19" s="123" t="str">
        <f t="shared" si="5"/>
        <v>2021-12</v>
      </c>
      <c r="V19" s="147">
        <f>VLOOKUP(U19,Data!A:P,12,FALSE)</f>
        <v>9</v>
      </c>
      <c r="W19" s="146">
        <f>VLOOKUP(U19,Data!A:P,13,FALSE)</f>
        <v>25</v>
      </c>
      <c r="X19" s="146">
        <f>VLOOKUP(U19,Data!A:P,14,FALSE)</f>
        <v>29</v>
      </c>
      <c r="Y19" s="146">
        <f>VLOOKUP(U19,Data!A:P,15,FALSE)</f>
        <v>1</v>
      </c>
      <c r="Z19" s="148">
        <f>VLOOKUP(U19,Data!A:P,16,FALSE)</f>
        <v>0</v>
      </c>
      <c r="AB19" s="123" t="str">
        <f t="shared" si="6"/>
        <v>2021-12</v>
      </c>
      <c r="AC19" s="159">
        <f>VLOOKUP(AB19,Data!A:V,17,FALSE)</f>
        <v>40</v>
      </c>
      <c r="AD19" s="155">
        <f>VLOOKUP(AB19,Data!A:V,18,FALSE)</f>
        <v>7</v>
      </c>
      <c r="AE19" s="155">
        <f>VLOOKUP(AB19,Data!A:V,19,FALSE)</f>
        <v>5</v>
      </c>
      <c r="AF19" s="155">
        <f>VLOOKUP(AB19,Data!A:V,20,FALSE)</f>
        <v>10</v>
      </c>
      <c r="AG19" s="155">
        <f>VLOOKUP(AB19,Data!A:V,21,FALSE)</f>
        <v>1</v>
      </c>
      <c r="AH19" s="160">
        <f>VLOOKUP(AB19,Data!A:V,22,FALSE)</f>
        <v>1</v>
      </c>
      <c r="AJ19" s="188" t="str">
        <f t="shared" si="7"/>
        <v>2021-12</v>
      </c>
      <c r="AK19" s="190">
        <f t="shared" si="8"/>
        <v>6.3208927628938316E-2</v>
      </c>
      <c r="AL19" s="191">
        <f t="shared" si="9"/>
        <v>0.4935834155972359</v>
      </c>
      <c r="AM19" s="191">
        <f t="shared" si="10"/>
        <v>0.19664136547764188</v>
      </c>
      <c r="AN19" s="191">
        <f t="shared" si="11"/>
        <v>0.59091177687171303</v>
      </c>
      <c r="AO19" s="192">
        <f t="shared" si="12"/>
        <v>0.38491147036181678</v>
      </c>
    </row>
    <row r="20" spans="1:48" x14ac:dyDescent="0.4">
      <c r="A20" s="43" t="s">
        <v>118</v>
      </c>
      <c r="B20" s="177">
        <f>VLOOKUP(A20,Data!A:B,2,FALSE)</f>
        <v>93</v>
      </c>
      <c r="C20" s="181">
        <f t="shared" si="0"/>
        <v>60.625</v>
      </c>
      <c r="D20" s="181">
        <f t="shared" si="1"/>
        <v>85.770538976820177</v>
      </c>
      <c r="E20" s="181">
        <f t="shared" si="2"/>
        <v>35.479461023179823</v>
      </c>
      <c r="F20" s="182"/>
      <c r="H20" s="123" t="str">
        <f t="shared" si="3"/>
        <v>2022-01</v>
      </c>
      <c r="I20" s="170">
        <f>VLOOKUP(H20,Data!A:H,3,FALSE)</f>
        <v>32</v>
      </c>
      <c r="J20" s="171">
        <f>VLOOKUP(H20,Data!A:H,4,FALSE)</f>
        <v>9</v>
      </c>
      <c r="K20" s="171">
        <f>VLOOKUP(H20,Data!A:H,5,FALSE)</f>
        <v>44</v>
      </c>
      <c r="L20" s="171">
        <f>VLOOKUP(H20,Data!A:H,6,FALSE)</f>
        <v>2</v>
      </c>
      <c r="M20" s="171">
        <f>VLOOKUP(H20,Data!A:H,7,FALSE)</f>
        <v>8</v>
      </c>
      <c r="N20" s="172">
        <f>VLOOKUP(H20,Data!A:H,8,FALSE)</f>
        <v>0</v>
      </c>
      <c r="P20" s="123" t="str">
        <f t="shared" si="4"/>
        <v>2022-01</v>
      </c>
      <c r="Q20" s="133">
        <f>VLOOKUP(P20,Data!A:K,9,FALSE)</f>
        <v>84</v>
      </c>
      <c r="R20" s="134">
        <f>VLOOKUP(P20,Data!A:K,10,FALSE)</f>
        <v>9</v>
      </c>
      <c r="S20" s="135">
        <f>VLOOKUP(P20,Data!A:K,11,FALSE)</f>
        <v>0</v>
      </c>
      <c r="U20" s="123" t="str">
        <f t="shared" si="5"/>
        <v>2022-01</v>
      </c>
      <c r="V20" s="147">
        <f>VLOOKUP(U20,Data!A:P,12,FALSE)</f>
        <v>7</v>
      </c>
      <c r="W20" s="146">
        <f>VLOOKUP(U20,Data!A:P,13,FALSE)</f>
        <v>36</v>
      </c>
      <c r="X20" s="146">
        <f>VLOOKUP(U20,Data!A:P,14,FALSE)</f>
        <v>50</v>
      </c>
      <c r="Y20" s="146">
        <f>VLOOKUP(U20,Data!A:P,15,FALSE)</f>
        <v>0</v>
      </c>
      <c r="Z20" s="148">
        <f>VLOOKUP(U20,Data!A:P,16,FALSE)</f>
        <v>0</v>
      </c>
      <c r="AB20" s="123" t="str">
        <f t="shared" si="6"/>
        <v>2022-01</v>
      </c>
      <c r="AC20" s="159">
        <f>VLOOKUP(AB20,Data!A:V,17,FALSE)</f>
        <v>77</v>
      </c>
      <c r="AD20" s="155">
        <f>VLOOKUP(AB20,Data!A:V,18,FALSE)</f>
        <v>2</v>
      </c>
      <c r="AE20" s="155">
        <f>VLOOKUP(AB20,Data!A:V,19,FALSE)</f>
        <v>4</v>
      </c>
      <c r="AF20" s="155">
        <f>VLOOKUP(AB20,Data!A:V,20,FALSE)</f>
        <v>7</v>
      </c>
      <c r="AG20" s="155">
        <f>VLOOKUP(AB20,Data!A:V,21,FALSE)</f>
        <v>0</v>
      </c>
      <c r="AH20" s="160">
        <f>VLOOKUP(AB20,Data!A:V,22,FALSE)</f>
        <v>3</v>
      </c>
      <c r="AJ20" s="188" t="str">
        <f t="shared" si="7"/>
        <v>2022-01</v>
      </c>
      <c r="AK20" s="190">
        <f t="shared" si="8"/>
        <v>0.12167718568570625</v>
      </c>
      <c r="AL20" s="191">
        <f t="shared" si="9"/>
        <v>0.14102383302778171</v>
      </c>
      <c r="AM20" s="191">
        <f t="shared" si="10"/>
        <v>0.1573130923821135</v>
      </c>
      <c r="AN20" s="191">
        <f t="shared" si="11"/>
        <v>0.41363824381019915</v>
      </c>
      <c r="AO20" s="192">
        <f t="shared" si="12"/>
        <v>0</v>
      </c>
    </row>
    <row r="21" spans="1:48" x14ac:dyDescent="0.4">
      <c r="A21" s="43" t="s">
        <v>119</v>
      </c>
      <c r="B21" s="177">
        <f>VLOOKUP(A21,Data!A:B,2,FALSE)</f>
        <v>69</v>
      </c>
      <c r="C21" s="181">
        <f t="shared" si="0"/>
        <v>60.625</v>
      </c>
      <c r="D21" s="181">
        <f t="shared" si="1"/>
        <v>85.770538976820177</v>
      </c>
      <c r="E21" s="181">
        <f t="shared" si="2"/>
        <v>35.479461023179823</v>
      </c>
      <c r="F21" s="182"/>
      <c r="H21" s="123" t="str">
        <f t="shared" si="3"/>
        <v>2022-02</v>
      </c>
      <c r="I21" s="170">
        <f>VLOOKUP(H21,Data!A:H,3,FALSE)</f>
        <v>19</v>
      </c>
      <c r="J21" s="171">
        <f>VLOOKUP(H21,Data!A:H,4,FALSE)</f>
        <v>7</v>
      </c>
      <c r="K21" s="171">
        <f>VLOOKUP(H21,Data!A:H,5,FALSE)</f>
        <v>33</v>
      </c>
      <c r="L21" s="171">
        <f>VLOOKUP(H21,Data!A:H,6,FALSE)</f>
        <v>0</v>
      </c>
      <c r="M21" s="171">
        <f>VLOOKUP(H21,Data!A:H,7,FALSE)</f>
        <v>2</v>
      </c>
      <c r="N21" s="172">
        <f>VLOOKUP(H21,Data!A:H,8,FALSE)</f>
        <v>0</v>
      </c>
      <c r="P21" s="123" t="str">
        <f t="shared" si="4"/>
        <v>2022-02</v>
      </c>
      <c r="Q21" s="133">
        <f>VLOOKUP(P21,Data!A:K,9,FALSE)</f>
        <v>60</v>
      </c>
      <c r="R21" s="134">
        <f>VLOOKUP(P21,Data!A:K,10,FALSE)</f>
        <v>9</v>
      </c>
      <c r="S21" s="135">
        <f>VLOOKUP(P21,Data!A:K,11,FALSE)</f>
        <v>0</v>
      </c>
      <c r="U21" s="123" t="str">
        <f t="shared" si="5"/>
        <v>2022-02</v>
      </c>
      <c r="V21" s="147">
        <f>VLOOKUP(U21,Data!A:P,12,FALSE)</f>
        <v>13</v>
      </c>
      <c r="W21" s="146">
        <f>VLOOKUP(U21,Data!A:P,13,FALSE)</f>
        <v>23</v>
      </c>
      <c r="X21" s="146">
        <f>VLOOKUP(U21,Data!A:P,14,FALSE)</f>
        <v>31</v>
      </c>
      <c r="Y21" s="146">
        <f>VLOOKUP(U21,Data!A:P,15,FALSE)</f>
        <v>2</v>
      </c>
      <c r="Z21" s="148">
        <f>VLOOKUP(U21,Data!A:P,16,FALSE)</f>
        <v>0</v>
      </c>
      <c r="AB21" s="123" t="str">
        <f t="shared" si="6"/>
        <v>2022-02</v>
      </c>
      <c r="AC21" s="159">
        <f>VLOOKUP(AB21,Data!A:V,17,FALSE)</f>
        <v>49</v>
      </c>
      <c r="AD21" s="155">
        <f>VLOOKUP(AB21,Data!A:V,18,FALSE)</f>
        <v>4</v>
      </c>
      <c r="AE21" s="155">
        <f>VLOOKUP(AB21,Data!A:V,19,FALSE)</f>
        <v>7</v>
      </c>
      <c r="AF21" s="155">
        <f>VLOOKUP(AB21,Data!A:V,20,FALSE)</f>
        <v>4</v>
      </c>
      <c r="AG21" s="155">
        <f>VLOOKUP(AB21,Data!A:V,21,FALSE)</f>
        <v>2</v>
      </c>
      <c r="AH21" s="160">
        <f>VLOOKUP(AB21,Data!A:V,22,FALSE)</f>
        <v>3</v>
      </c>
      <c r="AJ21" s="188" t="str">
        <f t="shared" si="7"/>
        <v>2022-02</v>
      </c>
      <c r="AK21" s="190">
        <f t="shared" si="8"/>
        <v>7.7430936345449425E-2</v>
      </c>
      <c r="AL21" s="191">
        <f t="shared" si="9"/>
        <v>0.28204766605556342</v>
      </c>
      <c r="AM21" s="191">
        <f t="shared" si="10"/>
        <v>0.2752979116686986</v>
      </c>
      <c r="AN21" s="191">
        <f t="shared" si="11"/>
        <v>0.23636471074868523</v>
      </c>
      <c r="AO21" s="192">
        <f t="shared" si="12"/>
        <v>0.76982294072363355</v>
      </c>
    </row>
    <row r="22" spans="1:48" x14ac:dyDescent="0.4">
      <c r="A22" s="43" t="s">
        <v>120</v>
      </c>
      <c r="B22" s="177">
        <f>VLOOKUP(A22,Data!A:B,2,FALSE)</f>
        <v>55</v>
      </c>
      <c r="C22" s="181">
        <f t="shared" si="0"/>
        <v>60.625</v>
      </c>
      <c r="D22" s="181">
        <f t="shared" si="1"/>
        <v>85.770538976820177</v>
      </c>
      <c r="E22" s="181">
        <f t="shared" si="2"/>
        <v>35.479461023179823</v>
      </c>
      <c r="F22" s="182"/>
      <c r="H22" s="123" t="str">
        <f t="shared" si="3"/>
        <v>2022-03</v>
      </c>
      <c r="I22" s="170">
        <f>VLOOKUP(H22,Data!A:H,3,FALSE)</f>
        <v>12</v>
      </c>
      <c r="J22" s="171">
        <f>VLOOKUP(H22,Data!A:H,4,FALSE)</f>
        <v>5</v>
      </c>
      <c r="K22" s="171">
        <f>VLOOKUP(H22,Data!A:H,5,FALSE)</f>
        <v>42</v>
      </c>
      <c r="L22" s="171">
        <f>VLOOKUP(H22,Data!A:H,6,FALSE)</f>
        <v>1</v>
      </c>
      <c r="M22" s="171">
        <f>VLOOKUP(H22,Data!A:H,7,FALSE)</f>
        <v>5</v>
      </c>
      <c r="N22" s="172">
        <f>VLOOKUP(H22,Data!A:H,8,FALSE)</f>
        <v>0</v>
      </c>
      <c r="P22" s="123" t="str">
        <f t="shared" si="4"/>
        <v>2022-03</v>
      </c>
      <c r="Q22" s="133">
        <f>VLOOKUP(P22,Data!A:K,9,FALSE)</f>
        <v>50</v>
      </c>
      <c r="R22" s="134">
        <f>VLOOKUP(P22,Data!A:K,10,FALSE)</f>
        <v>4</v>
      </c>
      <c r="S22" s="135">
        <f>VLOOKUP(P22,Data!A:K,11,FALSE)</f>
        <v>1</v>
      </c>
      <c r="U22" s="123" t="str">
        <f t="shared" si="5"/>
        <v>2022-03</v>
      </c>
      <c r="V22" s="147">
        <f>VLOOKUP(U22,Data!A:P,12,FALSE)</f>
        <v>7</v>
      </c>
      <c r="W22" s="146">
        <f>VLOOKUP(U22,Data!A:P,13,FALSE)</f>
        <v>33</v>
      </c>
      <c r="X22" s="146">
        <f>VLOOKUP(U22,Data!A:P,14,FALSE)</f>
        <v>14</v>
      </c>
      <c r="Y22" s="146">
        <f>VLOOKUP(U22,Data!A:P,15,FALSE)</f>
        <v>0</v>
      </c>
      <c r="Z22" s="148">
        <f>VLOOKUP(U22,Data!A:P,16,FALSE)</f>
        <v>1</v>
      </c>
      <c r="AB22" s="123" t="str">
        <f t="shared" si="6"/>
        <v>2022-03</v>
      </c>
      <c r="AC22" s="159">
        <f>VLOOKUP(AB22,Data!A:V,17,FALSE)</f>
        <v>47</v>
      </c>
      <c r="AD22" s="155">
        <f>VLOOKUP(AB22,Data!A:V,18,FALSE)</f>
        <v>1</v>
      </c>
      <c r="AE22" s="155">
        <f>VLOOKUP(AB22,Data!A:V,19,FALSE)</f>
        <v>0</v>
      </c>
      <c r="AF22" s="155">
        <f>VLOOKUP(AB22,Data!A:V,20,FALSE)</f>
        <v>5</v>
      </c>
      <c r="AG22" s="155">
        <f>VLOOKUP(AB22,Data!A:V,21,FALSE)</f>
        <v>0</v>
      </c>
      <c r="AH22" s="160">
        <f>VLOOKUP(AB22,Data!A:V,22,FALSE)</f>
        <v>2</v>
      </c>
      <c r="AJ22" s="188" t="str">
        <f t="shared" si="7"/>
        <v>2022-03</v>
      </c>
      <c r="AK22" s="190">
        <f t="shared" si="8"/>
        <v>7.4270489964002526E-2</v>
      </c>
      <c r="AL22" s="191">
        <f t="shared" si="9"/>
        <v>7.0511916513890854E-2</v>
      </c>
      <c r="AM22" s="191">
        <f t="shared" si="10"/>
        <v>0</v>
      </c>
      <c r="AN22" s="191">
        <f t="shared" si="11"/>
        <v>0.29545588843585652</v>
      </c>
      <c r="AO22" s="192">
        <f t="shared" si="12"/>
        <v>0</v>
      </c>
    </row>
    <row r="23" spans="1:48" x14ac:dyDescent="0.4">
      <c r="A23" s="43" t="s">
        <v>121</v>
      </c>
      <c r="B23" s="177">
        <f>VLOOKUP(A23,Data!A:B,2,FALSE)</f>
        <v>70</v>
      </c>
      <c r="C23" s="181">
        <f t="shared" si="0"/>
        <v>60.625</v>
      </c>
      <c r="D23" s="181">
        <f t="shared" si="1"/>
        <v>85.770538976820177</v>
      </c>
      <c r="E23" s="181">
        <f t="shared" si="2"/>
        <v>35.479461023179823</v>
      </c>
      <c r="F23" s="182"/>
      <c r="H23" s="123" t="str">
        <f t="shared" si="3"/>
        <v>2022-04</v>
      </c>
      <c r="I23" s="170">
        <f>VLOOKUP(H23,Data!A:H,3,FALSE)</f>
        <v>12</v>
      </c>
      <c r="J23" s="171">
        <f>VLOOKUP(H23,Data!A:H,4,FALSE)</f>
        <v>7</v>
      </c>
      <c r="K23" s="171">
        <f>VLOOKUP(H23,Data!A:H,5,FALSE)</f>
        <v>44</v>
      </c>
      <c r="L23" s="171">
        <f>VLOOKUP(H23,Data!A:H,6,FALSE)</f>
        <v>2</v>
      </c>
      <c r="M23" s="171">
        <f>VLOOKUP(H23,Data!A:H,7,FALSE)</f>
        <v>4</v>
      </c>
      <c r="N23" s="172">
        <f>VLOOKUP(H23,Data!A:H,8,FALSE)</f>
        <v>0</v>
      </c>
      <c r="P23" s="123" t="str">
        <f t="shared" si="4"/>
        <v>2022-04</v>
      </c>
      <c r="Q23" s="133">
        <f>VLOOKUP(P23,Data!A:K,9,FALSE)</f>
        <v>61</v>
      </c>
      <c r="R23" s="134">
        <f>VLOOKUP(P23,Data!A:K,10,FALSE)</f>
        <v>8</v>
      </c>
      <c r="S23" s="135">
        <f>VLOOKUP(P23,Data!A:K,11,FALSE)</f>
        <v>1</v>
      </c>
      <c r="U23" s="123" t="str">
        <f t="shared" si="5"/>
        <v>2022-04</v>
      </c>
      <c r="V23" s="147">
        <f>VLOOKUP(U23,Data!A:P,12,FALSE)</f>
        <v>10</v>
      </c>
      <c r="W23" s="146">
        <f>VLOOKUP(U23,Data!A:P,13,FALSE)</f>
        <v>30</v>
      </c>
      <c r="X23" s="146">
        <f>VLOOKUP(U23,Data!A:P,14,FALSE)</f>
        <v>30</v>
      </c>
      <c r="Y23" s="146">
        <f>VLOOKUP(U23,Data!A:P,15,FALSE)</f>
        <v>0</v>
      </c>
      <c r="Z23" s="148">
        <f>VLOOKUP(U23,Data!A:P,16,FALSE)</f>
        <v>0</v>
      </c>
      <c r="AB23" s="123" t="str">
        <f t="shared" si="6"/>
        <v>2022-04</v>
      </c>
      <c r="AC23" s="159">
        <f>VLOOKUP(AB23,Data!A:V,17,FALSE)</f>
        <v>48</v>
      </c>
      <c r="AD23" s="155">
        <f>VLOOKUP(AB23,Data!A:V,18,FALSE)</f>
        <v>5</v>
      </c>
      <c r="AE23" s="155">
        <f>VLOOKUP(AB23,Data!A:V,19,FALSE)</f>
        <v>1</v>
      </c>
      <c r="AF23" s="155">
        <f>VLOOKUP(AB23,Data!A:V,20,FALSE)</f>
        <v>13</v>
      </c>
      <c r="AG23" s="155">
        <f>VLOOKUP(AB23,Data!A:V,21,FALSE)</f>
        <v>2</v>
      </c>
      <c r="AH23" s="160">
        <f>VLOOKUP(AB23,Data!A:V,22,FALSE)</f>
        <v>1</v>
      </c>
      <c r="AJ23" s="188" t="str">
        <f t="shared" si="7"/>
        <v>2022-04</v>
      </c>
      <c r="AK23" s="190">
        <f t="shared" si="8"/>
        <v>7.5850713154725968E-2</v>
      </c>
      <c r="AL23" s="191">
        <f t="shared" si="9"/>
        <v>0.35255958256945424</v>
      </c>
      <c r="AM23" s="191">
        <f t="shared" si="10"/>
        <v>3.9328273095528374E-2</v>
      </c>
      <c r="AN23" s="191">
        <f t="shared" si="11"/>
        <v>0.76818530993322698</v>
      </c>
      <c r="AO23" s="192">
        <f t="shared" si="12"/>
        <v>0.76982294072363355</v>
      </c>
    </row>
    <row r="24" spans="1:48" x14ac:dyDescent="0.4">
      <c r="A24" s="43" t="s">
        <v>122</v>
      </c>
      <c r="B24" s="177">
        <f>VLOOKUP(A24,Data!A:B,2,FALSE)</f>
        <v>70</v>
      </c>
      <c r="C24" s="181">
        <f t="shared" si="0"/>
        <v>60.625</v>
      </c>
      <c r="D24" s="181">
        <f t="shared" si="1"/>
        <v>85.770538976820177</v>
      </c>
      <c r="E24" s="181">
        <f t="shared" si="2"/>
        <v>35.479461023179823</v>
      </c>
      <c r="F24" s="182"/>
      <c r="H24" s="123" t="str">
        <f t="shared" si="3"/>
        <v>2022-05</v>
      </c>
      <c r="I24" s="170">
        <f>VLOOKUP(H24,Data!A:H,3,FALSE)</f>
        <v>26</v>
      </c>
      <c r="J24" s="171">
        <f>VLOOKUP(H24,Data!A:H,4,FALSE)</f>
        <v>2</v>
      </c>
      <c r="K24" s="171">
        <f>VLOOKUP(H24,Data!A:H,5,FALSE)</f>
        <v>31</v>
      </c>
      <c r="L24" s="171">
        <f>VLOOKUP(H24,Data!A:H,6,FALSE)</f>
        <v>0</v>
      </c>
      <c r="M24" s="171">
        <f>VLOOKUP(H24,Data!A:H,7,FALSE)</f>
        <v>1</v>
      </c>
      <c r="N24" s="172">
        <f>VLOOKUP(H24,Data!A:H,8,FALSE)</f>
        <v>0</v>
      </c>
      <c r="P24" s="123" t="str">
        <f t="shared" si="4"/>
        <v>2022-05</v>
      </c>
      <c r="Q24" s="133">
        <f>VLOOKUP(P24,Data!A:K,9,FALSE)</f>
        <v>62</v>
      </c>
      <c r="R24" s="134">
        <f>VLOOKUP(P24,Data!A:K,10,FALSE)</f>
        <v>8</v>
      </c>
      <c r="S24" s="135">
        <f>VLOOKUP(P24,Data!A:K,11,FALSE)</f>
        <v>0</v>
      </c>
      <c r="U24" s="123" t="str">
        <f t="shared" si="5"/>
        <v>2022-05</v>
      </c>
      <c r="V24" s="147">
        <f>VLOOKUP(U24,Data!A:P,12,FALSE)</f>
        <v>10</v>
      </c>
      <c r="W24" s="146">
        <f>VLOOKUP(U24,Data!A:P,13,FALSE)</f>
        <v>29</v>
      </c>
      <c r="X24" s="146">
        <f>VLOOKUP(U24,Data!A:P,14,FALSE)</f>
        <v>31</v>
      </c>
      <c r="Y24" s="146">
        <f>VLOOKUP(U24,Data!A:P,15,FALSE)</f>
        <v>0</v>
      </c>
      <c r="Z24" s="148">
        <f>VLOOKUP(U24,Data!A:P,16,FALSE)</f>
        <v>0</v>
      </c>
      <c r="AB24" s="123" t="str">
        <f t="shared" si="6"/>
        <v>2022-05</v>
      </c>
      <c r="AC24" s="159">
        <f>VLOOKUP(AB24,Data!A:V,17,FALSE)</f>
        <v>55</v>
      </c>
      <c r="AD24" s="155">
        <f>VLOOKUP(AB24,Data!A:V,18,FALSE)</f>
        <v>1</v>
      </c>
      <c r="AE24" s="155">
        <f>VLOOKUP(AB24,Data!A:V,19,FALSE)</f>
        <v>1</v>
      </c>
      <c r="AF24" s="155">
        <f>VLOOKUP(AB24,Data!A:V,20,FALSE)</f>
        <v>13</v>
      </c>
      <c r="AG24" s="155">
        <f>VLOOKUP(AB24,Data!A:V,21,FALSE)</f>
        <v>0</v>
      </c>
      <c r="AH24" s="160">
        <f>VLOOKUP(AB24,Data!A:V,22,FALSE)</f>
        <v>0</v>
      </c>
      <c r="AJ24" s="188" t="str">
        <f t="shared" si="7"/>
        <v>2022-05</v>
      </c>
      <c r="AK24" s="190">
        <f t="shared" si="8"/>
        <v>8.6912275489790178E-2</v>
      </c>
      <c r="AL24" s="191">
        <f t="shared" si="9"/>
        <v>7.0511916513890854E-2</v>
      </c>
      <c r="AM24" s="191">
        <f t="shared" si="10"/>
        <v>3.9328273095528374E-2</v>
      </c>
      <c r="AN24" s="191">
        <f t="shared" si="11"/>
        <v>0.76818530993322698</v>
      </c>
      <c r="AO24" s="192">
        <f t="shared" si="12"/>
        <v>0</v>
      </c>
    </row>
    <row r="25" spans="1:48" ht="15" thickBot="1" x14ac:dyDescent="0.45">
      <c r="A25" s="43" t="s">
        <v>123</v>
      </c>
      <c r="B25" s="178">
        <f>VLOOKUP(A25,Data!A:B,2,FALSE)</f>
        <v>62</v>
      </c>
      <c r="C25" s="183">
        <f t="shared" si="0"/>
        <v>60.625</v>
      </c>
      <c r="D25" s="183">
        <f t="shared" si="1"/>
        <v>85.770538976820177</v>
      </c>
      <c r="E25" s="183">
        <f t="shared" si="2"/>
        <v>35.479461023179823</v>
      </c>
      <c r="F25" s="184"/>
      <c r="H25" s="124" t="str">
        <f t="shared" si="3"/>
        <v>2022-06</v>
      </c>
      <c r="I25" s="173">
        <f>VLOOKUP(H25,Data!A:H,3,FALSE)</f>
        <v>26</v>
      </c>
      <c r="J25" s="174">
        <f>VLOOKUP(H25,Data!A:H,4,FALSE)</f>
        <v>2</v>
      </c>
      <c r="K25" s="174">
        <f>VLOOKUP(H25,Data!A:H,5,FALSE)</f>
        <v>31</v>
      </c>
      <c r="L25" s="174">
        <f>VLOOKUP(H25,Data!A:H,6,FALSE)</f>
        <v>1</v>
      </c>
      <c r="M25" s="174">
        <f>VLOOKUP(H25,Data!A:H,7,FALSE)</f>
        <v>2</v>
      </c>
      <c r="N25" s="175">
        <f>VLOOKUP(H25,Data!A:H,8,FALSE)</f>
        <v>0</v>
      </c>
      <c r="P25" s="124" t="str">
        <f t="shared" si="4"/>
        <v>2022-06</v>
      </c>
      <c r="Q25" s="139">
        <f>VLOOKUP(P25,Data!A:K,9,FALSE)</f>
        <v>50</v>
      </c>
      <c r="R25" s="140">
        <f>VLOOKUP(P25,Data!A:K,10,FALSE)</f>
        <v>7</v>
      </c>
      <c r="S25" s="141">
        <f>VLOOKUP(P25,Data!A:K,11,FALSE)</f>
        <v>5</v>
      </c>
      <c r="U25" s="124" t="str">
        <f t="shared" si="5"/>
        <v>2022-06</v>
      </c>
      <c r="V25" s="149">
        <f>VLOOKUP(U25,Data!A:P,12,FALSE)</f>
        <v>12</v>
      </c>
      <c r="W25" s="150">
        <f>VLOOKUP(U25,Data!A:P,13,FALSE)</f>
        <v>17</v>
      </c>
      <c r="X25" s="150">
        <f>VLOOKUP(U25,Data!A:P,14,FALSE)</f>
        <v>33</v>
      </c>
      <c r="Y25" s="150">
        <f>VLOOKUP(U25,Data!A:P,15,FALSE)</f>
        <v>0</v>
      </c>
      <c r="Z25" s="151">
        <f>VLOOKUP(U25,Data!A:P,16,FALSE)</f>
        <v>0</v>
      </c>
      <c r="AB25" s="124" t="str">
        <f t="shared" si="6"/>
        <v>2022-06</v>
      </c>
      <c r="AC25" s="161">
        <f>VLOOKUP(AB25,Data!A:V,17,FALSE)</f>
        <v>48</v>
      </c>
      <c r="AD25" s="162">
        <f>VLOOKUP(AB25,Data!A:V,18,FALSE)</f>
        <v>1</v>
      </c>
      <c r="AE25" s="162">
        <f>VLOOKUP(AB25,Data!A:V,19,FALSE)</f>
        <v>1</v>
      </c>
      <c r="AF25" s="162">
        <f>VLOOKUP(AB25,Data!A:V,20,FALSE)</f>
        <v>9</v>
      </c>
      <c r="AG25" s="162">
        <f>VLOOKUP(AB25,Data!A:V,21,FALSE)</f>
        <v>2</v>
      </c>
      <c r="AH25" s="163">
        <f>VLOOKUP(AB25,Data!A:V,22,FALSE)</f>
        <v>1</v>
      </c>
      <c r="AJ25" s="189" t="str">
        <f t="shared" si="7"/>
        <v>2022-06</v>
      </c>
      <c r="AK25" s="190">
        <f t="shared" si="8"/>
        <v>7.5850713154725968E-2</v>
      </c>
      <c r="AL25" s="191">
        <f t="shared" si="9"/>
        <v>7.0511916513890854E-2</v>
      </c>
      <c r="AM25" s="191">
        <f t="shared" si="10"/>
        <v>3.9328273095528374E-2</v>
      </c>
      <c r="AN25" s="191">
        <f t="shared" si="11"/>
        <v>0.53182059918454172</v>
      </c>
      <c r="AO25" s="192">
        <f t="shared" si="12"/>
        <v>0.76982294072363355</v>
      </c>
    </row>
    <row r="27" spans="1:48" ht="15" thickBot="1" x14ac:dyDescent="0.45"/>
    <row r="28" spans="1:48" s="231" customFormat="1" ht="29.6" thickBot="1" x14ac:dyDescent="0.45">
      <c r="AB28" s="232" t="s">
        <v>105</v>
      </c>
      <c r="AC28" s="233" t="s">
        <v>12</v>
      </c>
      <c r="AD28" s="234" t="s">
        <v>11</v>
      </c>
      <c r="AE28" s="234" t="s">
        <v>13</v>
      </c>
      <c r="AF28" s="234" t="s">
        <v>14</v>
      </c>
      <c r="AG28" s="234" t="s">
        <v>76</v>
      </c>
      <c r="AH28" s="235" t="s">
        <v>5</v>
      </c>
      <c r="AK28" s="233" t="s">
        <v>12</v>
      </c>
      <c r="AL28" s="234" t="s">
        <v>11</v>
      </c>
      <c r="AM28" s="234" t="s">
        <v>13</v>
      </c>
      <c r="AN28" s="234" t="s">
        <v>14</v>
      </c>
      <c r="AO28" s="234" t="s">
        <v>76</v>
      </c>
      <c r="AQ28" s="233" t="s">
        <v>12</v>
      </c>
      <c r="AR28" s="234" t="s">
        <v>11</v>
      </c>
      <c r="AS28" s="234" t="s">
        <v>13</v>
      </c>
      <c r="AT28" s="234" t="s">
        <v>14</v>
      </c>
      <c r="AU28" s="234" t="s">
        <v>76</v>
      </c>
    </row>
    <row r="29" spans="1:48" ht="15" thickBot="1" x14ac:dyDescent="0.45">
      <c r="B29" s="224">
        <f>SUM(B2:B4)</f>
        <v>152</v>
      </c>
      <c r="I29" s="224">
        <f>SUM(I2:I4)</f>
        <v>74</v>
      </c>
      <c r="J29" s="224">
        <f t="shared" ref="J29:N29" si="13">SUM(J2:J4)</f>
        <v>17</v>
      </c>
      <c r="K29" s="224">
        <f t="shared" si="13"/>
        <v>83</v>
      </c>
      <c r="L29" s="224">
        <f t="shared" si="13"/>
        <v>2</v>
      </c>
      <c r="M29" s="224">
        <f t="shared" si="13"/>
        <v>10</v>
      </c>
      <c r="N29" s="224">
        <f t="shared" si="13"/>
        <v>0</v>
      </c>
      <c r="P29" s="225">
        <f>M29/B29</f>
        <v>6.5789473684210523E-2</v>
      </c>
      <c r="Q29" s="224">
        <f t="shared" ref="Q29:R29" si="14">SUM(Q2:Q4)</f>
        <v>132</v>
      </c>
      <c r="R29" s="224">
        <f t="shared" si="14"/>
        <v>20</v>
      </c>
      <c r="V29" s="224">
        <f>SUM(V2:V4)</f>
        <v>10</v>
      </c>
      <c r="W29" s="224">
        <f t="shared" ref="W29:Z29" si="15">SUM(W2:W4)</f>
        <v>67</v>
      </c>
      <c r="X29" s="224">
        <f t="shared" si="15"/>
        <v>75</v>
      </c>
      <c r="Y29" s="224">
        <f t="shared" si="15"/>
        <v>0</v>
      </c>
      <c r="Z29" s="224">
        <f t="shared" si="15"/>
        <v>0</v>
      </c>
      <c r="AB29" s="122" t="s">
        <v>30</v>
      </c>
      <c r="AC29" s="227">
        <f>(AC2/AQ$5)*1000</f>
        <v>7.5850713154725968E-2</v>
      </c>
      <c r="AD29" s="228">
        <f>(AD2/AW$2)*1000</f>
        <v>0.14102383302778171</v>
      </c>
      <c r="AE29" s="228">
        <f>(AE2/AU$2)*1000</f>
        <v>7.8656546191056748E-2</v>
      </c>
      <c r="AF29" s="228">
        <f>(AF2/AV$2)*1000</f>
        <v>0.29545588843585652</v>
      </c>
      <c r="AG29" s="157">
        <f>(AG2/AX$2)*1000</f>
        <v>0</v>
      </c>
      <c r="AH29" s="158">
        <f>VLOOKUP(AB29,Data!A:V,22,FALSE)</f>
        <v>1</v>
      </c>
      <c r="AK29" s="27">
        <f>SUM(AK2:AK4)</f>
        <v>0.19910812203115569</v>
      </c>
      <c r="AL29" s="27">
        <f t="shared" ref="AL29:AO29" si="16">SUM(AL2:AL4)</f>
        <v>0.28204766605556342</v>
      </c>
      <c r="AM29" s="27">
        <f t="shared" si="16"/>
        <v>0.11798481928658512</v>
      </c>
      <c r="AN29" s="27">
        <f t="shared" si="16"/>
        <v>1.0045500206819122</v>
      </c>
      <c r="AO29" s="27">
        <f t="shared" si="16"/>
        <v>0</v>
      </c>
      <c r="AQ29" s="226">
        <f>SUM(AC29:AC40)</f>
        <v>0.85174029979994381</v>
      </c>
      <c r="AR29" s="226">
        <f t="shared" ref="AR29:AU29" si="17">SUM(AD29:AD40)</f>
        <v>1.6217740798194895</v>
      </c>
      <c r="AS29" s="226">
        <f t="shared" si="17"/>
        <v>0.51126755024186887</v>
      </c>
      <c r="AT29" s="226">
        <f t="shared" si="17"/>
        <v>4.9045677480352179</v>
      </c>
      <c r="AU29" s="226">
        <f t="shared" si="17"/>
        <v>0.38491147036181678</v>
      </c>
      <c r="AV29" t="s">
        <v>115</v>
      </c>
    </row>
    <row r="30" spans="1:48" ht="15" thickBot="1" x14ac:dyDescent="0.45">
      <c r="P30" s="225"/>
      <c r="Q30" s="35">
        <f>Q29/B29</f>
        <v>0.86842105263157898</v>
      </c>
      <c r="R30" s="35">
        <f>R29/B29</f>
        <v>0.13157894736842105</v>
      </c>
      <c r="V30" s="35">
        <f>V29/$B29</f>
        <v>6.5789473684210523E-2</v>
      </c>
      <c r="W30" s="35">
        <f t="shared" ref="W30:Z30" si="18">W29/$B29</f>
        <v>0.44078947368421051</v>
      </c>
      <c r="X30" s="35">
        <f t="shared" si="18"/>
        <v>0.49342105263157893</v>
      </c>
      <c r="Y30" s="35">
        <f t="shared" si="18"/>
        <v>0</v>
      </c>
      <c r="Z30" s="35">
        <f t="shared" si="18"/>
        <v>0</v>
      </c>
      <c r="AB30" s="123" t="s">
        <v>29</v>
      </c>
      <c r="AC30" s="227">
        <f t="shared" ref="AC30:AC52" si="19">(AC3/AQ$5)*1000</f>
        <v>7.7430936345449425E-2</v>
      </c>
      <c r="AD30" s="228">
        <f t="shared" ref="AD30:AD52" si="20">(AD3/AW$2)*1000</f>
        <v>7.0511916513890854E-2</v>
      </c>
      <c r="AE30" s="228">
        <f t="shared" ref="AE30:AF30" si="21">(AE3/AU$2)*1000</f>
        <v>0</v>
      </c>
      <c r="AF30" s="228">
        <f t="shared" si="21"/>
        <v>0.41363824381019915</v>
      </c>
      <c r="AG30" s="157">
        <f t="shared" ref="AG30:AG52" si="22">(AG3/AX$2)*1000</f>
        <v>0</v>
      </c>
      <c r="AH30" s="160">
        <f>VLOOKUP(AB30,Data!A:V,22,FALSE)</f>
        <v>1</v>
      </c>
      <c r="AK30" s="27">
        <f>AK29/$AK29</f>
        <v>1</v>
      </c>
      <c r="AL30" s="27">
        <f t="shared" ref="AL30:AO30" si="23">AL29/$AK29</f>
        <v>1.4165553026080455</v>
      </c>
      <c r="AM30" s="27">
        <f t="shared" si="23"/>
        <v>0.59256658182996325</v>
      </c>
      <c r="AN30" s="27">
        <f t="shared" si="23"/>
        <v>5.0452488348251512</v>
      </c>
      <c r="AO30" s="27">
        <f t="shared" si="23"/>
        <v>0</v>
      </c>
      <c r="AQ30" s="226">
        <f>SUM(AC41:AC52)</f>
        <v>0.92443056657322265</v>
      </c>
      <c r="AR30" s="226">
        <f t="shared" ref="AR30:AU30" si="24">SUM(AD41:AD52)</f>
        <v>2.1858694119306161</v>
      </c>
      <c r="AS30" s="226">
        <f t="shared" si="24"/>
        <v>1.1011916466747949</v>
      </c>
      <c r="AT30" s="226">
        <f t="shared" si="24"/>
        <v>6.2045736571529861</v>
      </c>
      <c r="AU30" s="226">
        <f t="shared" si="24"/>
        <v>3.0792917628945342</v>
      </c>
      <c r="AV30" t="s">
        <v>116</v>
      </c>
    </row>
    <row r="31" spans="1:48" ht="15" thickBot="1" x14ac:dyDescent="0.45">
      <c r="P31" s="225"/>
      <c r="AB31" s="123" t="s">
        <v>28</v>
      </c>
      <c r="AC31" s="227">
        <f t="shared" si="19"/>
        <v>4.5826472530980281E-2</v>
      </c>
      <c r="AD31" s="228">
        <f t="shared" si="20"/>
        <v>7.0511916513890854E-2</v>
      </c>
      <c r="AE31" s="228">
        <f t="shared" ref="AE31:AF31" si="25">(AE4/AU$2)*1000</f>
        <v>3.9328273095528374E-2</v>
      </c>
      <c r="AF31" s="228">
        <f t="shared" si="25"/>
        <v>0.29545588843585652</v>
      </c>
      <c r="AG31" s="157">
        <f t="shared" si="22"/>
        <v>0</v>
      </c>
      <c r="AH31" s="160">
        <f>VLOOKUP(AB31,Data!A:V,22,FALSE)</f>
        <v>1</v>
      </c>
    </row>
    <row r="32" spans="1:48" ht="15" thickBot="1" x14ac:dyDescent="0.45">
      <c r="B32" s="224">
        <f>SUM(B5:B7)</f>
        <v>156</v>
      </c>
      <c r="I32" s="224">
        <f>SUM(I5:I7)</f>
        <v>80</v>
      </c>
      <c r="J32" s="224">
        <f t="shared" ref="J32:N32" si="26">SUM(J5:J7)</f>
        <v>24</v>
      </c>
      <c r="K32" s="224">
        <f t="shared" si="26"/>
        <v>109</v>
      </c>
      <c r="L32" s="224">
        <f t="shared" si="26"/>
        <v>2</v>
      </c>
      <c r="M32" s="224">
        <f t="shared" si="26"/>
        <v>16</v>
      </c>
      <c r="N32" s="224">
        <f t="shared" si="26"/>
        <v>0</v>
      </c>
      <c r="P32" s="225">
        <f t="shared" ref="P32:P47" si="27">M32/B32</f>
        <v>0.10256410256410256</v>
      </c>
      <c r="Q32" s="224">
        <f t="shared" ref="Q32:R32" si="28">SUM(Q5:Q7)</f>
        <v>141</v>
      </c>
      <c r="R32" s="224">
        <f t="shared" si="28"/>
        <v>13</v>
      </c>
      <c r="V32" s="224">
        <f>SUM(V5:V7)</f>
        <v>15</v>
      </c>
      <c r="W32" s="224">
        <f t="shared" ref="W32:Z32" si="29">SUM(W5:W7)</f>
        <v>70</v>
      </c>
      <c r="X32" s="224">
        <f t="shared" si="29"/>
        <v>68</v>
      </c>
      <c r="Y32" s="224">
        <f t="shared" si="29"/>
        <v>0</v>
      </c>
      <c r="Z32" s="224">
        <f t="shared" si="29"/>
        <v>2</v>
      </c>
      <c r="AB32" s="123" t="s">
        <v>27</v>
      </c>
      <c r="AC32" s="227">
        <f t="shared" si="19"/>
        <v>4.8986918912427194E-2</v>
      </c>
      <c r="AD32" s="228">
        <f t="shared" si="20"/>
        <v>7.0511916513890854E-2</v>
      </c>
      <c r="AE32" s="228">
        <f t="shared" ref="AE32:AF32" si="30">(AE5/AU$2)*1000</f>
        <v>0</v>
      </c>
      <c r="AF32" s="228">
        <f t="shared" si="30"/>
        <v>0.41363824381019915</v>
      </c>
      <c r="AG32" s="157">
        <f t="shared" si="22"/>
        <v>0</v>
      </c>
      <c r="AH32" s="160">
        <f>VLOOKUP(AB32,Data!A:V,22,FALSE)</f>
        <v>0</v>
      </c>
      <c r="AK32" s="27">
        <f>SUM(AK5:AK7)</f>
        <v>0.20542901479404951</v>
      </c>
      <c r="AL32" s="27">
        <f t="shared" ref="AL32:AO32" si="31">SUM(AL5:AL7)</f>
        <v>0.28204766605556342</v>
      </c>
      <c r="AM32" s="27">
        <f t="shared" si="31"/>
        <v>0.19664136547764188</v>
      </c>
      <c r="AN32" s="27">
        <f t="shared" si="31"/>
        <v>0.65000295455888435</v>
      </c>
      <c r="AO32" s="27">
        <f t="shared" si="31"/>
        <v>0</v>
      </c>
      <c r="AQ32" s="27">
        <f>AQ29/$AQ29</f>
        <v>1</v>
      </c>
      <c r="AR32" s="27">
        <f t="shared" ref="AR32:AU32" si="32">AR29/$AQ29</f>
        <v>1.9040710885705545</v>
      </c>
      <c r="AS32" s="27">
        <f t="shared" si="32"/>
        <v>0.60026225172385883</v>
      </c>
      <c r="AT32" s="27">
        <f t="shared" si="32"/>
        <v>5.7582901140021194</v>
      </c>
      <c r="AU32" s="27">
        <f t="shared" si="32"/>
        <v>0.45191177457756143</v>
      </c>
      <c r="AV32" t="s">
        <v>115</v>
      </c>
    </row>
    <row r="33" spans="2:48" ht="15" thickBot="1" x14ac:dyDescent="0.45">
      <c r="P33" s="225"/>
      <c r="Q33" s="35">
        <f>Q32/B32</f>
        <v>0.90384615384615385</v>
      </c>
      <c r="R33" s="35">
        <f>R32/B32</f>
        <v>8.3333333333333329E-2</v>
      </c>
      <c r="V33" s="35">
        <f>V32/$B32</f>
        <v>9.6153846153846159E-2</v>
      </c>
      <c r="W33" s="35">
        <f t="shared" ref="W33" si="33">W32/$B32</f>
        <v>0.44871794871794873</v>
      </c>
      <c r="X33" s="35">
        <f t="shared" ref="X33" si="34">X32/$B32</f>
        <v>0.4358974358974359</v>
      </c>
      <c r="Y33" s="35">
        <f t="shared" ref="Y33" si="35">Y32/$B32</f>
        <v>0</v>
      </c>
      <c r="Z33" s="35">
        <f t="shared" ref="Z33" si="36">Z32/$B32</f>
        <v>1.282051282051282E-2</v>
      </c>
      <c r="AB33" s="123" t="s">
        <v>26</v>
      </c>
      <c r="AC33" s="227">
        <f t="shared" si="19"/>
        <v>6.0048481247491396E-2</v>
      </c>
      <c r="AD33" s="228">
        <f t="shared" si="20"/>
        <v>0.14102383302778171</v>
      </c>
      <c r="AE33" s="228">
        <f t="shared" ref="AE33:AF33" si="37">(AE6/AU$2)*1000</f>
        <v>3.9328273095528374E-2</v>
      </c>
      <c r="AF33" s="228">
        <f t="shared" si="37"/>
        <v>0</v>
      </c>
      <c r="AG33" s="157">
        <f t="shared" si="22"/>
        <v>0</v>
      </c>
      <c r="AH33" s="160">
        <f>VLOOKUP(AB33,Data!A:V,22,FALSE)</f>
        <v>3</v>
      </c>
      <c r="AK33" s="27">
        <f>AK32/$AK32</f>
        <v>1</v>
      </c>
      <c r="AL33" s="27">
        <f t="shared" ref="AL33" si="38">AL32/$AK32</f>
        <v>1.3729689856047211</v>
      </c>
      <c r="AM33" s="27">
        <f t="shared" ref="AM33" si="39">AM32/$AK32</f>
        <v>0.95722293987917151</v>
      </c>
      <c r="AN33" s="27">
        <f t="shared" ref="AN33" si="40">AN32/$AK32</f>
        <v>3.1641243823835561</v>
      </c>
      <c r="AO33" s="27">
        <f t="shared" ref="AO33" si="41">AO32/$AK32</f>
        <v>0</v>
      </c>
      <c r="AQ33" s="27">
        <f>AQ30/$AQ30</f>
        <v>1</v>
      </c>
      <c r="AR33" s="27">
        <f t="shared" ref="AR33:AU33" si="42">AR30/$AQ30</f>
        <v>2.364557697430353</v>
      </c>
      <c r="AS33" s="27">
        <f t="shared" si="42"/>
        <v>1.1912107696274139</v>
      </c>
      <c r="AT33" s="27">
        <f t="shared" si="42"/>
        <v>6.7117789929348168</v>
      </c>
      <c r="AU33" s="27">
        <f t="shared" si="42"/>
        <v>3.3310146529546074</v>
      </c>
      <c r="AV33" t="s">
        <v>116</v>
      </c>
    </row>
    <row r="34" spans="2:48" ht="15" thickBot="1" x14ac:dyDescent="0.45">
      <c r="P34" s="225"/>
      <c r="AB34" s="123" t="s">
        <v>25</v>
      </c>
      <c r="AC34" s="227">
        <f t="shared" si="19"/>
        <v>9.6393614634130931E-2</v>
      </c>
      <c r="AD34" s="228">
        <f t="shared" si="20"/>
        <v>7.0511916513890854E-2</v>
      </c>
      <c r="AE34" s="228">
        <f t="shared" ref="AE34:AF34" si="43">(AE7/AU$2)*1000</f>
        <v>0.1573130923821135</v>
      </c>
      <c r="AF34" s="228">
        <f t="shared" si="43"/>
        <v>0.23636471074868523</v>
      </c>
      <c r="AG34" s="157">
        <f t="shared" si="22"/>
        <v>0</v>
      </c>
      <c r="AH34" s="160">
        <f>VLOOKUP(AB34,Data!A:V,22,FALSE)</f>
        <v>3</v>
      </c>
      <c r="AL34" s="27"/>
      <c r="AN34" s="27"/>
    </row>
    <row r="35" spans="2:48" ht="15" thickBot="1" x14ac:dyDescent="0.45">
      <c r="B35" s="224">
        <f>SUM(B8:B10)</f>
        <v>181</v>
      </c>
      <c r="I35" s="224">
        <f>SUM(I8:I10)</f>
        <v>92</v>
      </c>
      <c r="J35" s="224">
        <f t="shared" ref="J35:N35" si="44">SUM(J8:J10)</f>
        <v>31</v>
      </c>
      <c r="K35" s="224">
        <f t="shared" si="44"/>
        <v>114</v>
      </c>
      <c r="L35" s="224">
        <f t="shared" si="44"/>
        <v>6</v>
      </c>
      <c r="M35" s="224">
        <f t="shared" si="44"/>
        <v>16</v>
      </c>
      <c r="N35" s="224">
        <f t="shared" si="44"/>
        <v>0</v>
      </c>
      <c r="P35" s="225">
        <f t="shared" si="27"/>
        <v>8.8397790055248615E-2</v>
      </c>
      <c r="Q35" s="224">
        <f t="shared" ref="Q35:R35" si="45">SUM(Q8:Q10)</f>
        <v>166</v>
      </c>
      <c r="R35" s="224">
        <f t="shared" si="45"/>
        <v>14</v>
      </c>
      <c r="V35" s="224">
        <f>SUM(V8:V10)</f>
        <v>13</v>
      </c>
      <c r="W35" s="224">
        <f t="shared" ref="W35:Z35" si="46">SUM(W8:W10)</f>
        <v>77</v>
      </c>
      <c r="X35" s="224">
        <f t="shared" si="46"/>
        <v>87</v>
      </c>
      <c r="Y35" s="224">
        <f t="shared" si="46"/>
        <v>0</v>
      </c>
      <c r="Z35" s="224">
        <f t="shared" si="46"/>
        <v>2</v>
      </c>
      <c r="AB35" s="123" t="s">
        <v>43</v>
      </c>
      <c r="AC35" s="227">
        <f t="shared" si="19"/>
        <v>8.6912275489790178E-2</v>
      </c>
      <c r="AD35" s="228">
        <f t="shared" si="20"/>
        <v>0.21153574954167254</v>
      </c>
      <c r="AE35" s="228">
        <f t="shared" ref="AE35:AF35" si="47">(AE8/AU$2)*1000</f>
        <v>3.9328273095528374E-2</v>
      </c>
      <c r="AF35" s="228">
        <f t="shared" si="47"/>
        <v>0.41363824381019915</v>
      </c>
      <c r="AG35" s="157">
        <f t="shared" si="22"/>
        <v>0</v>
      </c>
      <c r="AH35" s="160">
        <f>VLOOKUP(AB35,Data!A:V,22,FALSE)</f>
        <v>0</v>
      </c>
      <c r="AK35" s="27">
        <f>SUM(AK8:AK10)</f>
        <v>0.22913236265490139</v>
      </c>
      <c r="AL35" s="27">
        <f t="shared" ref="AL35:AO35" si="48">SUM(AL8:AL10)</f>
        <v>0.56409533211112683</v>
      </c>
      <c r="AM35" s="27">
        <f t="shared" si="48"/>
        <v>7.8656546191056748E-2</v>
      </c>
      <c r="AN35" s="27">
        <f t="shared" si="48"/>
        <v>1.3000059091177687</v>
      </c>
      <c r="AO35" s="27">
        <f t="shared" si="48"/>
        <v>0</v>
      </c>
      <c r="AQ35" t="s">
        <v>13</v>
      </c>
      <c r="AR35" t="s">
        <v>14</v>
      </c>
      <c r="AS35" t="s">
        <v>11</v>
      </c>
      <c r="AT35" t="s">
        <v>76</v>
      </c>
      <c r="AU35" t="s">
        <v>12</v>
      </c>
    </row>
    <row r="36" spans="2:48" ht="15" thickBot="1" x14ac:dyDescent="0.45">
      <c r="P36" s="225"/>
      <c r="Q36" s="35">
        <f>Q35/B35</f>
        <v>0.91712707182320441</v>
      </c>
      <c r="R36" s="35">
        <f>R35/B35</f>
        <v>7.7348066298342538E-2</v>
      </c>
      <c r="V36" s="35">
        <f>V35/$B35</f>
        <v>7.18232044198895E-2</v>
      </c>
      <c r="W36" s="35">
        <f t="shared" ref="W36" si="49">W35/$B35</f>
        <v>0.425414364640884</v>
      </c>
      <c r="X36" s="35">
        <f t="shared" ref="X36" si="50">X35/$B35</f>
        <v>0.48066298342541436</v>
      </c>
      <c r="Y36" s="35">
        <f t="shared" ref="Y36" si="51">Y35/$B35</f>
        <v>0</v>
      </c>
      <c r="Z36" s="35">
        <f t="shared" ref="Z36" si="52">Z35/$B35</f>
        <v>1.1049723756906077E-2</v>
      </c>
      <c r="AB36" s="123" t="s">
        <v>44</v>
      </c>
      <c r="AC36" s="227">
        <f t="shared" si="19"/>
        <v>6.3208927628938316E-2</v>
      </c>
      <c r="AD36" s="228">
        <f t="shared" si="20"/>
        <v>0.35255958256945424</v>
      </c>
      <c r="AE36" s="228">
        <f t="shared" ref="AE36:AF36" si="53">(AE9/AU$2)*1000</f>
        <v>3.9328273095528374E-2</v>
      </c>
      <c r="AF36" s="228">
        <f t="shared" si="53"/>
        <v>0.53182059918454172</v>
      </c>
      <c r="AG36" s="157">
        <f t="shared" si="22"/>
        <v>0</v>
      </c>
      <c r="AH36" s="160">
        <f>VLOOKUP(AB36,Data!A:V,22,FALSE)</f>
        <v>2</v>
      </c>
      <c r="AK36" s="27">
        <f>AK35/$AK35</f>
        <v>1</v>
      </c>
      <c r="AL36" s="27">
        <f t="shared" ref="AL36" si="54">AL35/$AK35</f>
        <v>2.4618754224636379</v>
      </c>
      <c r="AM36" s="27">
        <f t="shared" ref="AM36" si="55">AM35/$AK35</f>
        <v>0.34327995085322005</v>
      </c>
      <c r="AN36" s="27">
        <f t="shared" ref="AN36" si="56">AN35/$AK35</f>
        <v>5.6736023408256866</v>
      </c>
      <c r="AO36" s="27">
        <f t="shared" ref="AO36" si="57">AO35/$AK35</f>
        <v>0</v>
      </c>
    </row>
    <row r="37" spans="2:48" ht="15" thickBot="1" x14ac:dyDescent="0.45">
      <c r="P37" s="225"/>
      <c r="AB37" s="123" t="s">
        <v>46</v>
      </c>
      <c r="AC37" s="227">
        <f t="shared" si="19"/>
        <v>7.9011159536172895E-2</v>
      </c>
      <c r="AD37" s="228">
        <f t="shared" si="20"/>
        <v>0</v>
      </c>
      <c r="AE37" s="228">
        <f t="shared" ref="AE37:AF37" si="58">(AE10/AU$2)*1000</f>
        <v>0</v>
      </c>
      <c r="AF37" s="228">
        <f t="shared" si="58"/>
        <v>0.35454706612302783</v>
      </c>
      <c r="AG37" s="157">
        <f t="shared" si="22"/>
        <v>0</v>
      </c>
      <c r="AH37" s="160">
        <f>VLOOKUP(AB37,Data!A:V,22,FALSE)</f>
        <v>1</v>
      </c>
      <c r="AL37" s="27"/>
      <c r="AN37" s="27"/>
      <c r="AQ37">
        <v>0.94162259965700168</v>
      </c>
      <c r="AR37">
        <v>3.8082804922939144</v>
      </c>
      <c r="AS37">
        <v>1.9652605972289219</v>
      </c>
      <c r="AT37">
        <v>3.830168898715284</v>
      </c>
      <c r="AU37">
        <v>1</v>
      </c>
      <c r="AV37" t="s">
        <v>115</v>
      </c>
    </row>
    <row r="38" spans="2:48" ht="15" thickBot="1" x14ac:dyDescent="0.45">
      <c r="B38" s="224">
        <f>SUM(B11:B13)</f>
        <v>189</v>
      </c>
      <c r="I38" s="224">
        <f>SUM(I11:I13)</f>
        <v>75</v>
      </c>
      <c r="J38" s="224">
        <f t="shared" ref="J38:N38" si="59">SUM(J11:J13)</f>
        <v>24</v>
      </c>
      <c r="K38" s="224">
        <f t="shared" si="59"/>
        <v>85</v>
      </c>
      <c r="L38" s="224">
        <f t="shared" si="59"/>
        <v>1</v>
      </c>
      <c r="M38" s="224">
        <f t="shared" si="59"/>
        <v>12</v>
      </c>
      <c r="N38" s="224">
        <f t="shared" si="59"/>
        <v>0</v>
      </c>
      <c r="P38" s="225">
        <f t="shared" si="27"/>
        <v>6.3492063492063489E-2</v>
      </c>
      <c r="Q38" s="224">
        <f t="shared" ref="Q38:R38" si="60">SUM(Q11:Q13)</f>
        <v>169</v>
      </c>
      <c r="R38" s="224">
        <f t="shared" si="60"/>
        <v>14</v>
      </c>
      <c r="V38" s="224">
        <f>SUM(V11:V13)</f>
        <v>25</v>
      </c>
      <c r="W38" s="224">
        <f t="shared" ref="W38:Z38" si="61">SUM(W11:W13)</f>
        <v>73</v>
      </c>
      <c r="X38" s="224">
        <f t="shared" si="61"/>
        <v>82</v>
      </c>
      <c r="Y38" s="224">
        <f t="shared" si="61"/>
        <v>4</v>
      </c>
      <c r="Z38" s="224">
        <f t="shared" si="61"/>
        <v>3</v>
      </c>
      <c r="AB38" s="123" t="s">
        <v>47</v>
      </c>
      <c r="AC38" s="227">
        <f t="shared" si="19"/>
        <v>6.4789150819661759E-2</v>
      </c>
      <c r="AD38" s="228">
        <f t="shared" si="20"/>
        <v>7.0511916513890854E-2</v>
      </c>
      <c r="AE38" s="228">
        <f t="shared" ref="AE38:AF38" si="62">(AE11/AU$2)*1000</f>
        <v>3.9328273095528374E-2</v>
      </c>
      <c r="AF38" s="228">
        <f t="shared" si="62"/>
        <v>0.65000295455888446</v>
      </c>
      <c r="AG38" s="157">
        <f t="shared" si="22"/>
        <v>0</v>
      </c>
      <c r="AH38" s="160">
        <f>VLOOKUP(AB38,Data!A:V,22,FALSE)</f>
        <v>3</v>
      </c>
      <c r="AK38" s="27">
        <f>SUM(AK11:AK13)</f>
        <v>0.21807080031983714</v>
      </c>
      <c r="AL38" s="27">
        <f t="shared" ref="AL38:AO38" si="63">SUM(AL11:AL13)</f>
        <v>0.49358341559723595</v>
      </c>
      <c r="AM38" s="27">
        <f t="shared" si="63"/>
        <v>0.11798481928658512</v>
      </c>
      <c r="AN38" s="27">
        <f t="shared" si="63"/>
        <v>1.9500088636766533</v>
      </c>
      <c r="AO38" s="27">
        <f t="shared" si="63"/>
        <v>0.38491147036181678</v>
      </c>
      <c r="AQ38">
        <v>0.97241038719441875</v>
      </c>
      <c r="AR38">
        <v>3.905300080123848</v>
      </c>
      <c r="AS38">
        <v>2.0236187780939106</v>
      </c>
      <c r="AT38">
        <v>2.4896421460735652</v>
      </c>
      <c r="AU38">
        <v>1</v>
      </c>
      <c r="AV38" t="s">
        <v>116</v>
      </c>
    </row>
    <row r="39" spans="2:48" ht="15" thickBot="1" x14ac:dyDescent="0.45">
      <c r="P39" s="225"/>
      <c r="Q39" s="35">
        <f>Q38/B38</f>
        <v>0.89417989417989419</v>
      </c>
      <c r="R39" s="35">
        <f>R38/B38</f>
        <v>7.407407407407407E-2</v>
      </c>
      <c r="V39" s="35">
        <f>V38/$B38</f>
        <v>0.13227513227513227</v>
      </c>
      <c r="W39" s="35">
        <f t="shared" ref="W39" si="64">W38/$B38</f>
        <v>0.38624338624338622</v>
      </c>
      <c r="X39" s="35">
        <f t="shared" ref="X39" si="65">X38/$B38</f>
        <v>0.43386243386243384</v>
      </c>
      <c r="Y39" s="35">
        <f t="shared" ref="Y39" si="66">Y38/$B38</f>
        <v>2.1164021164021163E-2</v>
      </c>
      <c r="Z39" s="35">
        <f t="shared" ref="Z39" si="67">Z38/$B38</f>
        <v>1.5873015873015872E-2</v>
      </c>
      <c r="AB39" s="123" t="s">
        <v>48</v>
      </c>
      <c r="AC39" s="227">
        <f t="shared" si="19"/>
        <v>7.5850713154725968E-2</v>
      </c>
      <c r="AD39" s="228">
        <f t="shared" si="20"/>
        <v>0.14102383302778171</v>
      </c>
      <c r="AE39" s="228">
        <f t="shared" ref="AE39:AF39" si="68">(AE12/AU$2)*1000</f>
        <v>7.8656546191056748E-2</v>
      </c>
      <c r="AF39" s="228">
        <f t="shared" si="68"/>
        <v>0.35454706612302783</v>
      </c>
      <c r="AG39" s="157">
        <f t="shared" si="22"/>
        <v>0.38491147036181678</v>
      </c>
      <c r="AH39" s="160">
        <f>VLOOKUP(AB39,Data!A:V,22,FALSE)</f>
        <v>0</v>
      </c>
      <c r="AK39" s="27">
        <f>AK38/$AK38</f>
        <v>1</v>
      </c>
      <c r="AL39" s="27">
        <f t="shared" ref="AL39" si="69">AL38/$AK38</f>
        <v>2.2634090161237252</v>
      </c>
      <c r="AM39" s="27">
        <f t="shared" ref="AM39" si="70">AM38/$AK38</f>
        <v>0.54103905297518395</v>
      </c>
      <c r="AN39" s="27">
        <f t="shared" ref="AN39" si="71">AN38/$AK38</f>
        <v>8.9420906458665748</v>
      </c>
      <c r="AO39" s="27">
        <f t="shared" ref="AO39" si="72">AO38/$AK38</f>
        <v>1.7650756992558381</v>
      </c>
    </row>
    <row r="40" spans="2:48" ht="15" thickBot="1" x14ac:dyDescent="0.45">
      <c r="P40" s="225"/>
      <c r="AB40" s="123" t="s">
        <v>56</v>
      </c>
      <c r="AC40" s="227">
        <f t="shared" si="19"/>
        <v>7.7430936345449425E-2</v>
      </c>
      <c r="AD40" s="228">
        <f t="shared" si="20"/>
        <v>0.28204766605556342</v>
      </c>
      <c r="AE40" s="228">
        <f t="shared" ref="AE40:AF40" si="73">(AE13/AU$2)*1000</f>
        <v>0</v>
      </c>
      <c r="AF40" s="228">
        <f t="shared" si="73"/>
        <v>0.94545884299474092</v>
      </c>
      <c r="AG40" s="157">
        <f t="shared" si="22"/>
        <v>0</v>
      </c>
      <c r="AH40" s="160">
        <f>VLOOKUP(AB40,Data!A:V,22,FALSE)</f>
        <v>3</v>
      </c>
      <c r="AL40" s="27"/>
      <c r="AN40" s="27"/>
      <c r="AQ40" s="251" t="s">
        <v>117</v>
      </c>
      <c r="AR40" s="251"/>
      <c r="AS40" s="251"/>
      <c r="AT40" s="251"/>
      <c r="AU40" s="251"/>
    </row>
    <row r="41" spans="2:48" ht="15" thickBot="1" x14ac:dyDescent="0.45">
      <c r="B41" s="224">
        <f>SUM(B14:B16)</f>
        <v>197</v>
      </c>
      <c r="I41" s="224">
        <f>SUM(I14:I16)</f>
        <v>58</v>
      </c>
      <c r="J41" s="224">
        <f t="shared" ref="J41:N41" si="74">SUM(J14:J16)</f>
        <v>19</v>
      </c>
      <c r="K41" s="224">
        <f t="shared" si="74"/>
        <v>101</v>
      </c>
      <c r="L41" s="224">
        <f t="shared" si="74"/>
        <v>5</v>
      </c>
      <c r="M41" s="224">
        <f t="shared" si="74"/>
        <v>11</v>
      </c>
      <c r="N41" s="224">
        <f t="shared" si="74"/>
        <v>0</v>
      </c>
      <c r="P41" s="225">
        <f t="shared" si="27"/>
        <v>5.5837563451776651E-2</v>
      </c>
      <c r="Q41" s="224">
        <f t="shared" ref="Q41:R41" si="75">SUM(Q14:Q16)</f>
        <v>179</v>
      </c>
      <c r="R41" s="224">
        <f t="shared" si="75"/>
        <v>17</v>
      </c>
      <c r="V41" s="224">
        <f>SUM(V14:V16)</f>
        <v>21</v>
      </c>
      <c r="W41" s="224">
        <f t="shared" ref="W41:Z41" si="76">SUM(W14:W16)</f>
        <v>73</v>
      </c>
      <c r="X41" s="224">
        <f t="shared" si="76"/>
        <v>94</v>
      </c>
      <c r="Y41" s="224">
        <f t="shared" si="76"/>
        <v>3</v>
      </c>
      <c r="Z41" s="224">
        <f t="shared" si="76"/>
        <v>6</v>
      </c>
      <c r="AB41" s="123" t="s">
        <v>70</v>
      </c>
      <c r="AC41" s="227">
        <f t="shared" si="19"/>
        <v>6.4789150819661759E-2</v>
      </c>
      <c r="AD41" s="228">
        <f t="shared" si="20"/>
        <v>0.14102383302778171</v>
      </c>
      <c r="AE41" s="228">
        <f t="shared" ref="AE41:AF41" si="77">(AE14/AU$2)*1000</f>
        <v>3.9328273095528374E-2</v>
      </c>
      <c r="AF41" s="228">
        <f t="shared" si="77"/>
        <v>0.76818530993322698</v>
      </c>
      <c r="AG41" s="157">
        <f t="shared" si="22"/>
        <v>0.38491147036181678</v>
      </c>
      <c r="AH41" s="160">
        <f>VLOOKUP(AB41,Data!A:V,22,FALSE)</f>
        <v>2</v>
      </c>
      <c r="AK41" s="27">
        <f>SUM(AK14:AK16)</f>
        <v>0.22439169308273099</v>
      </c>
      <c r="AL41" s="27">
        <f t="shared" ref="AL41:AO41" si="78">SUM(AL14:AL16)</f>
        <v>0.56409533211112683</v>
      </c>
      <c r="AM41" s="27">
        <f t="shared" si="78"/>
        <v>0.19664136547764188</v>
      </c>
      <c r="AN41" s="27">
        <f t="shared" si="78"/>
        <v>2.0681912190509957</v>
      </c>
      <c r="AO41" s="27">
        <f t="shared" si="78"/>
        <v>0.38491147036181678</v>
      </c>
      <c r="AQ41" s="27">
        <f>AS32/AQ37</f>
        <v>0.63747647087326942</v>
      </c>
      <c r="AR41" s="27">
        <f>AT32/AR37</f>
        <v>1.5120446421039797</v>
      </c>
      <c r="AS41" s="27">
        <f>AR32/AS37</f>
        <v>0.96886443011952383</v>
      </c>
      <c r="AT41" s="27">
        <f>AU32/AT37</f>
        <v>0.11798742732445605</v>
      </c>
      <c r="AU41" s="27">
        <f>AQ32/AU37</f>
        <v>1</v>
      </c>
      <c r="AV41" t="s">
        <v>115</v>
      </c>
    </row>
    <row r="42" spans="2:48" ht="15" thickBot="1" x14ac:dyDescent="0.45">
      <c r="P42" s="225"/>
      <c r="Q42" s="35">
        <f>Q41/B41</f>
        <v>0.90862944162436543</v>
      </c>
      <c r="R42" s="35">
        <f>R41/B41</f>
        <v>8.6294416243654817E-2</v>
      </c>
      <c r="V42" s="35">
        <f>V41/$B41</f>
        <v>0.1065989847715736</v>
      </c>
      <c r="W42" s="35">
        <f t="shared" ref="W42" si="79">W41/$B41</f>
        <v>0.37055837563451777</v>
      </c>
      <c r="X42" s="35">
        <f t="shared" ref="X42" si="80">X41/$B41</f>
        <v>0.47715736040609136</v>
      </c>
      <c r="Y42" s="35">
        <f t="shared" ref="Y42" si="81">Y41/$B41</f>
        <v>1.5228426395939087E-2</v>
      </c>
      <c r="Z42" s="35">
        <f t="shared" ref="Z42" si="82">Z41/$B41</f>
        <v>3.0456852791878174E-2</v>
      </c>
      <c r="AB42" s="123" t="s">
        <v>84</v>
      </c>
      <c r="AC42" s="227">
        <f t="shared" si="19"/>
        <v>8.0591382726896352E-2</v>
      </c>
      <c r="AD42" s="228">
        <f t="shared" si="20"/>
        <v>0.21153574954167254</v>
      </c>
      <c r="AE42" s="228">
        <f t="shared" ref="AE42:AF42" si="83">(AE15/AU$2)*1000</f>
        <v>0.11798481928658512</v>
      </c>
      <c r="AF42" s="228">
        <f t="shared" si="83"/>
        <v>1.0045500206819122</v>
      </c>
      <c r="AG42" s="157">
        <f t="shared" si="22"/>
        <v>0</v>
      </c>
      <c r="AH42" s="160">
        <f>VLOOKUP(AB42,Data!A:V,22,FALSE)</f>
        <v>1</v>
      </c>
      <c r="AK42" s="27">
        <f>AK41/$AK41</f>
        <v>1</v>
      </c>
      <c r="AL42" s="27">
        <f t="shared" ref="AL42" si="84">AL41/$AK41</f>
        <v>2.5138868750508983</v>
      </c>
      <c r="AM42" s="27">
        <f t="shared" ref="AM42" si="85">AM41/$AK41</f>
        <v>0.87633086045276265</v>
      </c>
      <c r="AN42" s="27">
        <f t="shared" ref="AN42" si="86">AN41/$AK41</f>
        <v>9.2168796029738687</v>
      </c>
      <c r="AO42" s="27">
        <f t="shared" ref="AO42" si="87">AO41/$AK41</f>
        <v>1.7153552570232791</v>
      </c>
      <c r="AQ42" s="27">
        <f>AS33/AQ38</f>
        <v>1.2250082735790946</v>
      </c>
      <c r="AR42" s="27">
        <f>AT33/AR38</f>
        <v>1.7186333585720173</v>
      </c>
      <c r="AS42" s="27">
        <f>AR33/AS38</f>
        <v>1.1684798159748153</v>
      </c>
      <c r="AT42" s="27">
        <f>AU33/AT38</f>
        <v>1.337949174024057</v>
      </c>
      <c r="AU42" s="27">
        <f>AQ33/AU38</f>
        <v>1</v>
      </c>
      <c r="AV42" t="s">
        <v>116</v>
      </c>
    </row>
    <row r="43" spans="2:48" ht="15" thickBot="1" x14ac:dyDescent="0.45">
      <c r="P43" s="225"/>
      <c r="AB43" s="123" t="s">
        <v>85</v>
      </c>
      <c r="AC43" s="227">
        <f t="shared" si="19"/>
        <v>7.9011159536172895E-2</v>
      </c>
      <c r="AD43" s="228">
        <f t="shared" si="20"/>
        <v>0.21153574954167254</v>
      </c>
      <c r="AE43" s="228">
        <f t="shared" ref="AE43:AF43" si="88">(AE16/AU$2)*1000</f>
        <v>3.9328273095528374E-2</v>
      </c>
      <c r="AF43" s="228">
        <f t="shared" si="88"/>
        <v>0.29545588843585652</v>
      </c>
      <c r="AG43" s="157">
        <f t="shared" si="22"/>
        <v>0</v>
      </c>
      <c r="AH43" s="160">
        <f>VLOOKUP(AB43,Data!A:V,22,FALSE)</f>
        <v>1</v>
      </c>
      <c r="AQ43" t="s">
        <v>13</v>
      </c>
      <c r="AR43" t="s">
        <v>14</v>
      </c>
      <c r="AS43" t="s">
        <v>11</v>
      </c>
      <c r="AT43" t="s">
        <v>76</v>
      </c>
      <c r="AU43" t="s">
        <v>12</v>
      </c>
    </row>
    <row r="44" spans="2:48" ht="15" thickBot="1" x14ac:dyDescent="0.45">
      <c r="B44" s="224">
        <f>SUM(B17:B19)</f>
        <v>161</v>
      </c>
      <c r="I44" s="224">
        <f>SUM(I17:I19)</f>
        <v>50</v>
      </c>
      <c r="J44" s="224">
        <f t="shared" ref="J44:N44" si="89">SUM(J17:J19)</f>
        <v>10</v>
      </c>
      <c r="K44" s="224">
        <f t="shared" si="89"/>
        <v>74</v>
      </c>
      <c r="L44" s="224">
        <f t="shared" si="89"/>
        <v>3</v>
      </c>
      <c r="M44" s="224">
        <f t="shared" si="89"/>
        <v>12</v>
      </c>
      <c r="N44" s="224">
        <f t="shared" si="89"/>
        <v>0</v>
      </c>
      <c r="P44" s="225">
        <f t="shared" si="27"/>
        <v>7.4534161490683232E-2</v>
      </c>
      <c r="Q44" s="224">
        <f t="shared" ref="Q44:R44" si="90">SUM(Q17:Q19)</f>
        <v>141</v>
      </c>
      <c r="R44" s="224">
        <f t="shared" si="90"/>
        <v>19</v>
      </c>
      <c r="V44" s="224">
        <f>SUM(V17:V19)</f>
        <v>21</v>
      </c>
      <c r="W44" s="224">
        <f t="shared" ref="W44:Z44" si="91">SUM(W17:W19)</f>
        <v>64</v>
      </c>
      <c r="X44" s="224">
        <f t="shared" si="91"/>
        <v>74</v>
      </c>
      <c r="Y44" s="224">
        <f t="shared" si="91"/>
        <v>2</v>
      </c>
      <c r="Z44" s="224">
        <f t="shared" si="91"/>
        <v>0</v>
      </c>
      <c r="AB44" s="123" t="s">
        <v>86</v>
      </c>
      <c r="AC44" s="227">
        <f t="shared" si="19"/>
        <v>7.1110043582555599E-2</v>
      </c>
      <c r="AD44" s="228">
        <f t="shared" si="20"/>
        <v>0</v>
      </c>
      <c r="AE44" s="228">
        <f t="shared" ref="AE44:AF44" si="92">(AE17/AU$2)*1000</f>
        <v>7.8656546191056748E-2</v>
      </c>
      <c r="AF44" s="228">
        <f t="shared" si="92"/>
        <v>0.41363824381019915</v>
      </c>
      <c r="AG44" s="157">
        <f t="shared" si="22"/>
        <v>0</v>
      </c>
      <c r="AH44" s="160">
        <f>VLOOKUP(AB44,Data!A:V,22,FALSE)</f>
        <v>3</v>
      </c>
      <c r="AK44" s="27">
        <f>SUM(AK17:AK19)</f>
        <v>0.18804655969609146</v>
      </c>
      <c r="AL44" s="27">
        <f t="shared" ref="AL44:AO44" si="93">SUM(AL17:AL19)</f>
        <v>0.63460724862501761</v>
      </c>
      <c r="AM44" s="27">
        <f t="shared" si="93"/>
        <v>0.35395445785975538</v>
      </c>
      <c r="AN44" s="27">
        <f t="shared" si="93"/>
        <v>1.1227323760562546</v>
      </c>
      <c r="AO44" s="27">
        <f t="shared" si="93"/>
        <v>0.38491147036181678</v>
      </c>
    </row>
    <row r="45" spans="2:48" ht="15" thickBot="1" x14ac:dyDescent="0.45">
      <c r="P45" s="225"/>
      <c r="Q45" s="35">
        <f>Q44/B44</f>
        <v>0.87577639751552794</v>
      </c>
      <c r="R45" s="35">
        <f>R44/B44</f>
        <v>0.11801242236024845</v>
      </c>
      <c r="V45" s="35">
        <f>V44/$B44</f>
        <v>0.13043478260869565</v>
      </c>
      <c r="W45" s="35">
        <f t="shared" ref="W45" si="94">W44/$B44</f>
        <v>0.39751552795031053</v>
      </c>
      <c r="X45" s="35">
        <f t="shared" ref="X45" si="95">X44/$B44</f>
        <v>0.45962732919254656</v>
      </c>
      <c r="Y45" s="35">
        <f t="shared" ref="Y45" si="96">Y44/$B44</f>
        <v>1.2422360248447204E-2</v>
      </c>
      <c r="Z45" s="35">
        <f t="shared" ref="Z45" si="97">Z44/$B44</f>
        <v>0</v>
      </c>
      <c r="AB45" s="123" t="s">
        <v>87</v>
      </c>
      <c r="AC45" s="227">
        <f t="shared" si="19"/>
        <v>5.3727588484597563E-2</v>
      </c>
      <c r="AD45" s="228">
        <f t="shared" si="20"/>
        <v>0.14102383302778171</v>
      </c>
      <c r="AE45" s="228">
        <f t="shared" ref="AE45:AF45" si="98">(AE18/AU$2)*1000</f>
        <v>7.8656546191056748E-2</v>
      </c>
      <c r="AF45" s="228">
        <f t="shared" si="98"/>
        <v>0.11818235537434262</v>
      </c>
      <c r="AG45" s="157">
        <f t="shared" si="22"/>
        <v>0</v>
      </c>
      <c r="AH45" s="160">
        <f>VLOOKUP(AB45,Data!A:V,22,FALSE)</f>
        <v>1</v>
      </c>
      <c r="AK45" s="27">
        <f>AK44/$AK44</f>
        <v>1</v>
      </c>
      <c r="AL45" s="27">
        <f t="shared" ref="AL45" si="99">AL44/$AK44</f>
        <v>3.3747346915074026</v>
      </c>
      <c r="AM45" s="27">
        <f t="shared" ref="AM45" si="100">AM44/$AK44</f>
        <v>1.8822703187540011</v>
      </c>
      <c r="AN45" s="27">
        <f t="shared" ref="AN45" si="101">AN44/$AK44</f>
        <v>5.9705020813501779</v>
      </c>
      <c r="AO45" s="27">
        <f t="shared" ref="AO45" si="102">AO44/$AK44</f>
        <v>2.0468945083807197</v>
      </c>
    </row>
    <row r="46" spans="2:48" ht="15" thickBot="1" x14ac:dyDescent="0.45">
      <c r="P46" s="225"/>
      <c r="AB46" s="123" t="s">
        <v>106</v>
      </c>
      <c r="AC46" s="227">
        <f t="shared" si="19"/>
        <v>6.3208927628938316E-2</v>
      </c>
      <c r="AD46" s="228">
        <f t="shared" si="20"/>
        <v>0.4935834155972359</v>
      </c>
      <c r="AE46" s="228">
        <f t="shared" ref="AE46:AF46" si="103">(AE19/AU$2)*1000</f>
        <v>0.19664136547764188</v>
      </c>
      <c r="AF46" s="228">
        <f t="shared" si="103"/>
        <v>0.59091177687171303</v>
      </c>
      <c r="AG46" s="157">
        <f t="shared" si="22"/>
        <v>0.38491147036181678</v>
      </c>
      <c r="AH46" s="160">
        <f>VLOOKUP(AB46,Data!A:V,22,FALSE)</f>
        <v>3</v>
      </c>
    </row>
    <row r="47" spans="2:48" ht="15" thickBot="1" x14ac:dyDescent="0.45">
      <c r="B47" s="224">
        <f>SUM(B20:B22)</f>
        <v>217</v>
      </c>
      <c r="I47" s="224">
        <f>SUM(I20:I22)</f>
        <v>63</v>
      </c>
      <c r="J47" s="224">
        <f t="shared" ref="J47:N47" si="104">SUM(J20:J22)</f>
        <v>21</v>
      </c>
      <c r="K47" s="224">
        <f t="shared" si="104"/>
        <v>119</v>
      </c>
      <c r="L47" s="224">
        <f t="shared" si="104"/>
        <v>3</v>
      </c>
      <c r="M47" s="224">
        <f t="shared" si="104"/>
        <v>15</v>
      </c>
      <c r="N47" s="224">
        <f t="shared" si="104"/>
        <v>0</v>
      </c>
      <c r="P47" s="225">
        <f t="shared" si="27"/>
        <v>6.9124423963133647E-2</v>
      </c>
      <c r="Q47" s="224">
        <f t="shared" ref="Q47:R47" si="105">SUM(Q20:Q22)</f>
        <v>194</v>
      </c>
      <c r="R47" s="224">
        <f t="shared" si="105"/>
        <v>22</v>
      </c>
      <c r="V47" s="224">
        <f>SUM(V20:V22)</f>
        <v>27</v>
      </c>
      <c r="W47" s="224">
        <f t="shared" ref="W47:Z47" si="106">SUM(W20:W22)</f>
        <v>92</v>
      </c>
      <c r="X47" s="224">
        <f t="shared" si="106"/>
        <v>95</v>
      </c>
      <c r="Y47" s="224">
        <f t="shared" si="106"/>
        <v>2</v>
      </c>
      <c r="Z47" s="224">
        <f t="shared" si="106"/>
        <v>1</v>
      </c>
      <c r="AB47" s="123" t="s">
        <v>107</v>
      </c>
      <c r="AC47" s="227">
        <f t="shared" si="19"/>
        <v>0.12167718568570625</v>
      </c>
      <c r="AD47" s="228">
        <f t="shared" si="20"/>
        <v>0.14102383302778171</v>
      </c>
      <c r="AE47" s="228">
        <f t="shared" ref="AE47:AF47" si="107">(AE20/AU$2)*1000</f>
        <v>0.1573130923821135</v>
      </c>
      <c r="AF47" s="228">
        <f t="shared" si="107"/>
        <v>0.41363824381019915</v>
      </c>
      <c r="AG47" s="157">
        <f t="shared" si="22"/>
        <v>0</v>
      </c>
      <c r="AH47" s="160">
        <f>VLOOKUP(AB47,Data!A:V,22,FALSE)</f>
        <v>2</v>
      </c>
      <c r="AK47" s="27">
        <f>SUM(AK20:AK22)</f>
        <v>0.27337861199515823</v>
      </c>
      <c r="AL47" s="27">
        <f t="shared" ref="AL47:AO47" si="108">SUM(AL20:AL22)</f>
        <v>0.49358341559723595</v>
      </c>
      <c r="AM47" s="27">
        <f t="shared" si="108"/>
        <v>0.4326110040508121</v>
      </c>
      <c r="AN47" s="27">
        <f t="shared" si="108"/>
        <v>0.94545884299474081</v>
      </c>
      <c r="AO47" s="27">
        <f t="shared" si="108"/>
        <v>0.76982294072363355</v>
      </c>
    </row>
    <row r="48" spans="2:48" ht="15" thickBot="1" x14ac:dyDescent="0.45">
      <c r="P48" s="225"/>
      <c r="Q48" s="35">
        <f>Q47/B47</f>
        <v>0.89400921658986177</v>
      </c>
      <c r="R48" s="35">
        <f>R47/B47</f>
        <v>0.10138248847926268</v>
      </c>
      <c r="V48" s="35">
        <f>V47/$B47</f>
        <v>0.12442396313364056</v>
      </c>
      <c r="W48" s="35">
        <f t="shared" ref="W48" si="109">W47/$B47</f>
        <v>0.42396313364055299</v>
      </c>
      <c r="X48" s="35">
        <f t="shared" ref="X48" si="110">X47/$B47</f>
        <v>0.43778801843317972</v>
      </c>
      <c r="Y48" s="35">
        <f t="shared" ref="Y48" si="111">Y47/$B47</f>
        <v>9.2165898617511521E-3</v>
      </c>
      <c r="Z48" s="35">
        <f t="shared" ref="Z48" si="112">Z47/$B47</f>
        <v>4.608294930875576E-3</v>
      </c>
      <c r="AB48" s="123" t="s">
        <v>108</v>
      </c>
      <c r="AC48" s="227">
        <f t="shared" si="19"/>
        <v>7.7430936345449425E-2</v>
      </c>
      <c r="AD48" s="228">
        <f t="shared" si="20"/>
        <v>0.28204766605556342</v>
      </c>
      <c r="AE48" s="228">
        <f t="shared" ref="AE48:AF48" si="113">(AE21/AU$2)*1000</f>
        <v>0.2752979116686986</v>
      </c>
      <c r="AF48" s="228">
        <f t="shared" si="113"/>
        <v>0.23636471074868523</v>
      </c>
      <c r="AG48" s="157">
        <f t="shared" si="22"/>
        <v>0.76982294072363355</v>
      </c>
      <c r="AH48" s="160">
        <f>VLOOKUP(AB48,Data!A:V,22,FALSE)</f>
        <v>3</v>
      </c>
      <c r="AK48" s="27">
        <f>AK47/$AK47</f>
        <v>1</v>
      </c>
      <c r="AL48" s="27">
        <f t="shared" ref="AL48" si="114">AL47/$AK47</f>
        <v>1.8054938972547632</v>
      </c>
      <c r="AM48" s="27">
        <f t="shared" ref="AM48" si="115">AM47/$AK47</f>
        <v>1.5824610451181675</v>
      </c>
      <c r="AN48" s="27">
        <f t="shared" ref="AN48" si="116">AN47/$AK47</f>
        <v>3.4584228667145536</v>
      </c>
      <c r="AO48" s="27">
        <f t="shared" ref="AO48" si="117">AO47/$AK47</f>
        <v>2.8159589190439953</v>
      </c>
    </row>
    <row r="49" spans="2:47" ht="15" thickBot="1" x14ac:dyDescent="0.45">
      <c r="P49" s="225"/>
      <c r="AB49" s="123" t="s">
        <v>109</v>
      </c>
      <c r="AC49" s="227">
        <f t="shared" si="19"/>
        <v>7.4270489964002526E-2</v>
      </c>
      <c r="AD49" s="228">
        <f t="shared" si="20"/>
        <v>7.0511916513890854E-2</v>
      </c>
      <c r="AE49" s="228">
        <f t="shared" ref="AE49:AF49" si="118">(AE22/AU$2)*1000</f>
        <v>0</v>
      </c>
      <c r="AF49" s="228">
        <f t="shared" si="118"/>
        <v>0.29545588843585652</v>
      </c>
      <c r="AG49" s="157">
        <f t="shared" si="22"/>
        <v>0</v>
      </c>
      <c r="AH49" s="160">
        <f>VLOOKUP(AB49,Data!A:V,22,FALSE)</f>
        <v>1</v>
      </c>
    </row>
    <row r="50" spans="2:47" ht="15" thickBot="1" x14ac:dyDescent="0.45">
      <c r="B50" s="224">
        <f>SUM(B23:B25)</f>
        <v>202</v>
      </c>
      <c r="I50" s="224">
        <f>SUM(I23:I25)</f>
        <v>64</v>
      </c>
      <c r="J50" s="224">
        <f t="shared" ref="J50:N50" si="119">SUM(J23:J25)</f>
        <v>11</v>
      </c>
      <c r="K50" s="224">
        <f t="shared" si="119"/>
        <v>106</v>
      </c>
      <c r="L50" s="224">
        <f t="shared" si="119"/>
        <v>3</v>
      </c>
      <c r="M50" s="224">
        <f t="shared" si="119"/>
        <v>7</v>
      </c>
      <c r="N50" s="224">
        <f t="shared" si="119"/>
        <v>0</v>
      </c>
      <c r="P50" s="225">
        <f>M50/B50</f>
        <v>3.4653465346534656E-2</v>
      </c>
      <c r="Q50" s="224">
        <f t="shared" ref="Q50:R50" si="120">SUM(Q23:Q25)</f>
        <v>173</v>
      </c>
      <c r="R50" s="224">
        <f t="shared" si="120"/>
        <v>23</v>
      </c>
      <c r="V50" s="224">
        <f>SUM(V23:V25)</f>
        <v>32</v>
      </c>
      <c r="W50" s="224">
        <f t="shared" ref="W50:Z50" si="121">SUM(W23:W25)</f>
        <v>76</v>
      </c>
      <c r="X50" s="224">
        <f t="shared" si="121"/>
        <v>94</v>
      </c>
      <c r="Y50" s="224">
        <f t="shared" si="121"/>
        <v>0</v>
      </c>
      <c r="Z50" s="224">
        <f t="shared" si="121"/>
        <v>0</v>
      </c>
      <c r="AB50" s="123" t="s">
        <v>111</v>
      </c>
      <c r="AC50" s="227">
        <f t="shared" si="19"/>
        <v>7.5850713154725968E-2</v>
      </c>
      <c r="AD50" s="228">
        <f t="shared" si="20"/>
        <v>0.35255958256945424</v>
      </c>
      <c r="AE50" s="228">
        <f t="shared" ref="AE50:AF50" si="122">(AE23/AU$2)*1000</f>
        <v>3.9328273095528374E-2</v>
      </c>
      <c r="AF50" s="228">
        <f t="shared" si="122"/>
        <v>0.76818530993322698</v>
      </c>
      <c r="AG50" s="157">
        <f t="shared" si="22"/>
        <v>0.76982294072363355</v>
      </c>
      <c r="AH50" s="160">
        <f>VLOOKUP(AB50,Data!A:V,22,FALSE)</f>
        <v>3</v>
      </c>
      <c r="AK50" s="27">
        <f>SUM(AK23:AK25)</f>
        <v>0.23861370179924213</v>
      </c>
      <c r="AL50" s="27">
        <f t="shared" ref="AL50:AO50" si="123">SUM(AL23:AL25)</f>
        <v>0.49358341559723595</v>
      </c>
      <c r="AM50" s="27">
        <f t="shared" si="123"/>
        <v>0.11798481928658512</v>
      </c>
      <c r="AN50" s="27">
        <f t="shared" si="123"/>
        <v>2.0681912190509957</v>
      </c>
      <c r="AO50" s="27">
        <f t="shared" si="123"/>
        <v>1.5396458814472671</v>
      </c>
    </row>
    <row r="51" spans="2:47" ht="15" thickBot="1" x14ac:dyDescent="0.45">
      <c r="Q51" s="35">
        <f>Q50/B50</f>
        <v>0.85643564356435642</v>
      </c>
      <c r="R51" s="35">
        <f>R50/B50</f>
        <v>0.11386138613861387</v>
      </c>
      <c r="V51" s="35">
        <f>V50/$B50</f>
        <v>0.15841584158415842</v>
      </c>
      <c r="W51" s="35">
        <f t="shared" ref="W51" si="124">W50/$B50</f>
        <v>0.37623762376237624</v>
      </c>
      <c r="X51" s="35">
        <f t="shared" ref="X51" si="125">X50/$B50</f>
        <v>0.46534653465346537</v>
      </c>
      <c r="Y51" s="35">
        <f t="shared" ref="Y51" si="126">Y50/$B50</f>
        <v>0</v>
      </c>
      <c r="Z51" s="35">
        <f t="shared" ref="Z51" si="127">Z50/$B50</f>
        <v>0</v>
      </c>
      <c r="AB51" s="123" t="s">
        <v>113</v>
      </c>
      <c r="AC51" s="227">
        <f t="shared" si="19"/>
        <v>8.6912275489790178E-2</v>
      </c>
      <c r="AD51" s="228">
        <f t="shared" si="20"/>
        <v>7.0511916513890854E-2</v>
      </c>
      <c r="AE51" s="228">
        <f t="shared" ref="AE51:AF51" si="128">(AE24/AU$2)*1000</f>
        <v>3.9328273095528374E-2</v>
      </c>
      <c r="AF51" s="228">
        <f t="shared" si="128"/>
        <v>0.76818530993322698</v>
      </c>
      <c r="AG51" s="157">
        <f t="shared" si="22"/>
        <v>0</v>
      </c>
      <c r="AH51" s="160">
        <f>VLOOKUP(AB51,Data!A:V,22,FALSE)</f>
        <v>0</v>
      </c>
      <c r="AK51" s="27">
        <f>AK50/$AK50</f>
        <v>1</v>
      </c>
      <c r="AL51" s="27">
        <f t="shared" ref="AL51" si="129">AL50/$AK50</f>
        <v>2.0685459882455235</v>
      </c>
      <c r="AM51" s="27">
        <f t="shared" ref="AM51" si="130">AM50/$AK50</f>
        <v>0.49445953185811503</v>
      </c>
      <c r="AN51" s="27">
        <f t="shared" ref="AN51" si="131">AN50/$AK50</f>
        <v>8.6675291630615181</v>
      </c>
      <c r="AO51" s="27">
        <f t="shared" ref="AO51" si="132">AO50/$AK50</f>
        <v>6.4524621588690225</v>
      </c>
    </row>
    <row r="52" spans="2:47" ht="15" thickBot="1" x14ac:dyDescent="0.45">
      <c r="AB52" s="124" t="s">
        <v>114</v>
      </c>
      <c r="AC52" s="227">
        <f t="shared" si="19"/>
        <v>7.5850713154725968E-2</v>
      </c>
      <c r="AD52" s="228">
        <f t="shared" si="20"/>
        <v>7.0511916513890854E-2</v>
      </c>
      <c r="AE52" s="228">
        <f t="shared" ref="AE52:AF52" si="133">(AE25/AU$2)*1000</f>
        <v>3.9328273095528374E-2</v>
      </c>
      <c r="AF52" s="228">
        <f t="shared" si="133"/>
        <v>0.53182059918454172</v>
      </c>
      <c r="AG52" s="157">
        <f t="shared" si="22"/>
        <v>0.76982294072363355</v>
      </c>
      <c r="AH52" s="163">
        <f>VLOOKUP(AB52,Data!A:V,22,FALSE)</f>
        <v>1</v>
      </c>
    </row>
    <row r="53" spans="2:47" x14ac:dyDescent="0.4">
      <c r="AH53" s="34"/>
    </row>
    <row r="54" spans="2:47" ht="15" thickBot="1" x14ac:dyDescent="0.45">
      <c r="AH54" s="34"/>
    </row>
    <row r="55" spans="2:47" ht="29.6" thickBot="1" x14ac:dyDescent="0.45">
      <c r="AB55" s="119" t="s">
        <v>105</v>
      </c>
      <c r="AC55" s="164" t="s">
        <v>12</v>
      </c>
      <c r="AD55" s="165" t="s">
        <v>11</v>
      </c>
      <c r="AE55" s="165" t="s">
        <v>13</v>
      </c>
      <c r="AF55" s="165" t="s">
        <v>14</v>
      </c>
      <c r="AG55" s="165" t="s">
        <v>76</v>
      </c>
      <c r="AH55" s="166" t="s">
        <v>5</v>
      </c>
      <c r="AK55" s="164" t="s">
        <v>12</v>
      </c>
      <c r="AL55" s="165" t="s">
        <v>11</v>
      </c>
      <c r="AM55" s="165" t="s">
        <v>13</v>
      </c>
      <c r="AN55" s="165" t="s">
        <v>14</v>
      </c>
      <c r="AO55" s="165" t="s">
        <v>76</v>
      </c>
      <c r="AP55" s="166" t="s">
        <v>5</v>
      </c>
      <c r="AR55" s="164" t="s">
        <v>12</v>
      </c>
      <c r="AS55" s="165" t="s">
        <v>11</v>
      </c>
      <c r="AT55" s="165" t="s">
        <v>13</v>
      </c>
      <c r="AU55" s="165" t="s">
        <v>14</v>
      </c>
    </row>
    <row r="56" spans="2:47" ht="15" thickBot="1" x14ac:dyDescent="0.45">
      <c r="AB56" s="122" t="s">
        <v>30</v>
      </c>
      <c r="AC56" s="227">
        <f>AC29/$AC29</f>
        <v>1</v>
      </c>
      <c r="AD56" s="227">
        <f t="shared" ref="AD56:AF56" si="134">AD29/$AC29</f>
        <v>1.8592288346730601</v>
      </c>
      <c r="AE56" s="227">
        <f t="shared" si="134"/>
        <v>1.0369915182024358</v>
      </c>
      <c r="AF56" s="227">
        <f t="shared" si="134"/>
        <v>3.8952288798282417</v>
      </c>
      <c r="AG56" s="157">
        <f>VLOOKUP(AB56,Data!A:V,21,FALSE)</f>
        <v>0</v>
      </c>
      <c r="AH56" s="158">
        <f>VLOOKUP(AB56,Data!A:V,22,FALSE)</f>
        <v>1</v>
      </c>
    </row>
    <row r="57" spans="2:47" ht="15" thickBot="1" x14ac:dyDescent="0.45">
      <c r="AB57" s="123" t="s">
        <v>29</v>
      </c>
      <c r="AC57" s="227">
        <f t="shared" ref="AC57:AF57" si="135">AC30/$AC30</f>
        <v>1</v>
      </c>
      <c r="AD57" s="227">
        <f t="shared" si="135"/>
        <v>0.91064269453374369</v>
      </c>
      <c r="AE57" s="227">
        <f t="shared" si="135"/>
        <v>0</v>
      </c>
      <c r="AF57" s="227">
        <f t="shared" si="135"/>
        <v>5.3420281780501604</v>
      </c>
      <c r="AG57" s="155">
        <f>VLOOKUP(AB57,Data!A:V,21,FALSE)</f>
        <v>0</v>
      </c>
      <c r="AH57" s="160">
        <f>VLOOKUP(AB57,Data!A:V,22,FALSE)</f>
        <v>1</v>
      </c>
    </row>
    <row r="58" spans="2:47" ht="15" thickBot="1" x14ac:dyDescent="0.45">
      <c r="AB58" s="123" t="s">
        <v>28</v>
      </c>
      <c r="AC58" s="227">
        <f t="shared" ref="AC58:AF58" si="136">AC31/$AC31</f>
        <v>1</v>
      </c>
      <c r="AD58" s="227">
        <f t="shared" si="136"/>
        <v>1.5386721390397735</v>
      </c>
      <c r="AE58" s="227">
        <f t="shared" si="136"/>
        <v>0.85819987713305013</v>
      </c>
      <c r="AF58" s="227">
        <f t="shared" si="136"/>
        <v>6.4472753873019162</v>
      </c>
      <c r="AG58" s="155">
        <f>VLOOKUP(AB58,Data!A:V,21,FALSE)</f>
        <v>0</v>
      </c>
      <c r="AH58" s="160">
        <f>VLOOKUP(AB58,Data!A:V,22,FALSE)</f>
        <v>1</v>
      </c>
      <c r="AK58" s="226">
        <f>SUM(AC29:AC31)</f>
        <v>0.19910812203115569</v>
      </c>
      <c r="AL58" s="226">
        <f t="shared" ref="AL58:AN58" si="137">SUM(AD29:AD31)</f>
        <v>0.28204766605556342</v>
      </c>
      <c r="AM58" s="226">
        <f t="shared" si="137"/>
        <v>0.11798481928658512</v>
      </c>
      <c r="AN58" s="226">
        <f t="shared" si="137"/>
        <v>1.0045500206819122</v>
      </c>
      <c r="AR58">
        <f>AK58/$AK58</f>
        <v>1</v>
      </c>
      <c r="AS58">
        <f t="shared" ref="AS58:AU58" si="138">AL58/$AK58</f>
        <v>1.4165553026080455</v>
      </c>
      <c r="AT58">
        <f t="shared" si="138"/>
        <v>0.59256658182996325</v>
      </c>
      <c r="AU58">
        <f t="shared" si="138"/>
        <v>5.0452488348251512</v>
      </c>
    </row>
    <row r="59" spans="2:47" ht="15" thickBot="1" x14ac:dyDescent="0.45">
      <c r="AB59" s="123" t="s">
        <v>27</v>
      </c>
      <c r="AC59" s="227">
        <f t="shared" ref="AC59:AF59" si="139">AC32/$AC32</f>
        <v>1</v>
      </c>
      <c r="AD59" s="227">
        <f t="shared" si="139"/>
        <v>1.4394029687791432</v>
      </c>
      <c r="AE59" s="227">
        <f t="shared" si="139"/>
        <v>0</v>
      </c>
      <c r="AF59" s="227">
        <f t="shared" si="139"/>
        <v>8.4438509911115425</v>
      </c>
      <c r="AG59" s="155">
        <f>VLOOKUP(AB59,Data!A:V,21,FALSE)</f>
        <v>0</v>
      </c>
      <c r="AH59" s="160">
        <f>VLOOKUP(AB59,Data!A:V,22,FALSE)</f>
        <v>0</v>
      </c>
    </row>
    <row r="60" spans="2:47" ht="15" thickBot="1" x14ac:dyDescent="0.45">
      <c r="AB60" s="123" t="s">
        <v>26</v>
      </c>
      <c r="AC60" s="227">
        <f t="shared" ref="AC60:AF60" si="140">AC33/$AC33</f>
        <v>1</v>
      </c>
      <c r="AD60" s="227">
        <f t="shared" si="140"/>
        <v>2.3484995806396545</v>
      </c>
      <c r="AE60" s="227">
        <f t="shared" si="140"/>
        <v>0.65494201149627518</v>
      </c>
      <c r="AF60" s="227">
        <f t="shared" si="140"/>
        <v>0</v>
      </c>
      <c r="AG60" s="155">
        <f>VLOOKUP(AB60,Data!A:V,21,FALSE)</f>
        <v>0</v>
      </c>
      <c r="AH60" s="160">
        <f>VLOOKUP(AB60,Data!A:V,22,FALSE)</f>
        <v>3</v>
      </c>
    </row>
    <row r="61" spans="2:47" ht="15" thickBot="1" x14ac:dyDescent="0.45">
      <c r="AB61" s="123" t="s">
        <v>25</v>
      </c>
      <c r="AC61" s="227">
        <f t="shared" ref="AC61:AF61" si="141">AC34/$AC34</f>
        <v>1</v>
      </c>
      <c r="AD61" s="227">
        <f t="shared" si="141"/>
        <v>0.73149986937956446</v>
      </c>
      <c r="AE61" s="227">
        <f t="shared" si="141"/>
        <v>1.6319866515972756</v>
      </c>
      <c r="AF61" s="227">
        <f t="shared" si="141"/>
        <v>2.4520785079574505</v>
      </c>
      <c r="AG61" s="155">
        <f>VLOOKUP(AB61,Data!A:V,21,FALSE)</f>
        <v>0</v>
      </c>
      <c r="AH61" s="160">
        <f>VLOOKUP(AB61,Data!A:V,22,FALSE)</f>
        <v>3</v>
      </c>
      <c r="AK61" s="226">
        <f>SUM(AC32:AC34)</f>
        <v>0.20542901479404951</v>
      </c>
      <c r="AL61" s="226">
        <f t="shared" ref="AL61" si="142">SUM(AD32:AD34)</f>
        <v>0.28204766605556342</v>
      </c>
      <c r="AM61" s="226">
        <f t="shared" ref="AM61" si="143">SUM(AE32:AE34)</f>
        <v>0.19664136547764188</v>
      </c>
      <c r="AN61" s="226">
        <f t="shared" ref="AN61" si="144">SUM(AF32:AF34)</f>
        <v>0.65000295455888435</v>
      </c>
      <c r="AR61">
        <f>AK61/$AK61</f>
        <v>1</v>
      </c>
      <c r="AS61">
        <f t="shared" ref="AS61" si="145">AL61/$AK61</f>
        <v>1.3729689856047211</v>
      </c>
      <c r="AT61">
        <f t="shared" ref="AT61" si="146">AM61/$AK61</f>
        <v>0.95722293987917151</v>
      </c>
      <c r="AU61">
        <f t="shared" ref="AU61" si="147">AN61/$AK61</f>
        <v>3.1641243823835561</v>
      </c>
    </row>
    <row r="62" spans="2:47" ht="15" thickBot="1" x14ac:dyDescent="0.45">
      <c r="AB62" s="123" t="s">
        <v>43</v>
      </c>
      <c r="AC62" s="227">
        <f t="shared" ref="AC62:AF62" si="148">AC35/$AC35</f>
        <v>1</v>
      </c>
      <c r="AD62" s="227">
        <f t="shared" si="148"/>
        <v>2.4338995653901874</v>
      </c>
      <c r="AE62" s="227">
        <f t="shared" si="148"/>
        <v>0.45250538976106286</v>
      </c>
      <c r="AF62" s="227">
        <f t="shared" si="148"/>
        <v>4.7592614677174154</v>
      </c>
      <c r="AG62" s="155">
        <f>VLOOKUP(AB62,Data!A:V,21,FALSE)</f>
        <v>0</v>
      </c>
      <c r="AH62" s="160">
        <f>VLOOKUP(AB62,Data!A:V,22,FALSE)</f>
        <v>0</v>
      </c>
    </row>
    <row r="63" spans="2:47" ht="15" thickBot="1" x14ac:dyDescent="0.45">
      <c r="AB63" s="123" t="s">
        <v>44</v>
      </c>
      <c r="AC63" s="227">
        <f t="shared" ref="AC63:AF63" si="149">AC36/$AC36</f>
        <v>1</v>
      </c>
      <c r="AD63" s="227">
        <f t="shared" si="149"/>
        <v>5.5776865040191792</v>
      </c>
      <c r="AE63" s="227">
        <f t="shared" si="149"/>
        <v>0.6221949109214614</v>
      </c>
      <c r="AF63" s="227">
        <f t="shared" si="149"/>
        <v>8.4136943804290016</v>
      </c>
      <c r="AG63" s="155">
        <f>VLOOKUP(AB63,Data!A:V,21,FALSE)</f>
        <v>0</v>
      </c>
      <c r="AH63" s="160">
        <f>VLOOKUP(AB63,Data!A:V,22,FALSE)</f>
        <v>2</v>
      </c>
    </row>
    <row r="64" spans="2:47" ht="15" thickBot="1" x14ac:dyDescent="0.45">
      <c r="AB64" s="123" t="s">
        <v>46</v>
      </c>
      <c r="AC64" s="227">
        <f t="shared" ref="AC64:AF64" si="150">AC37/$AC37</f>
        <v>1</v>
      </c>
      <c r="AD64" s="227">
        <f t="shared" si="150"/>
        <v>0</v>
      </c>
      <c r="AE64" s="227">
        <f t="shared" si="150"/>
        <v>0</v>
      </c>
      <c r="AF64" s="227">
        <f t="shared" si="150"/>
        <v>4.4873036695621344</v>
      </c>
      <c r="AG64" s="155">
        <f>VLOOKUP(AB64,Data!A:V,21,FALSE)</f>
        <v>0</v>
      </c>
      <c r="AH64" s="160">
        <f>VLOOKUP(AB64,Data!A:V,22,FALSE)</f>
        <v>1</v>
      </c>
      <c r="AK64" s="226">
        <f>SUM(AC35:AC37)</f>
        <v>0.22913236265490139</v>
      </c>
      <c r="AL64" s="226">
        <f t="shared" ref="AL64" si="151">SUM(AD35:AD37)</f>
        <v>0.56409533211112683</v>
      </c>
      <c r="AM64" s="226">
        <f t="shared" ref="AM64" si="152">SUM(AE35:AE37)</f>
        <v>7.8656546191056748E-2</v>
      </c>
      <c r="AN64" s="226">
        <f t="shared" ref="AN64" si="153">SUM(AF35:AF37)</f>
        <v>1.3000059091177687</v>
      </c>
      <c r="AR64">
        <f>AK64/$AK64</f>
        <v>1</v>
      </c>
      <c r="AS64">
        <f t="shared" ref="AS64" si="154">AL64/$AK64</f>
        <v>2.4618754224636379</v>
      </c>
      <c r="AT64">
        <f t="shared" ref="AT64" si="155">AM64/$AK64</f>
        <v>0.34327995085322005</v>
      </c>
      <c r="AU64">
        <f t="shared" ref="AU64" si="156">AN64/$AK64</f>
        <v>5.6736023408256866</v>
      </c>
    </row>
    <row r="65" spans="28:47" ht="15" thickBot="1" x14ac:dyDescent="0.45">
      <c r="AB65" s="123" t="s">
        <v>47</v>
      </c>
      <c r="AC65" s="227">
        <f t="shared" ref="AC65:AF65" si="157">AC38/$AC38</f>
        <v>1</v>
      </c>
      <c r="AD65" s="227">
        <f t="shared" si="157"/>
        <v>1.088329073954962</v>
      </c>
      <c r="AE65" s="227">
        <f t="shared" si="157"/>
        <v>0.6070194252892307</v>
      </c>
      <c r="AF65" s="227">
        <f t="shared" si="157"/>
        <v>10.032589505118596</v>
      </c>
      <c r="AG65" s="155">
        <f>VLOOKUP(AB65,Data!A:V,21,FALSE)</f>
        <v>0</v>
      </c>
      <c r="AH65" s="160">
        <f>VLOOKUP(AB65,Data!A:V,22,FALSE)</f>
        <v>3</v>
      </c>
    </row>
    <row r="66" spans="28:47" ht="15" thickBot="1" x14ac:dyDescent="0.45">
      <c r="AB66" s="123" t="s">
        <v>48</v>
      </c>
      <c r="AC66" s="227">
        <f t="shared" ref="AC66:AF66" si="158">AC39/$AC39</f>
        <v>1</v>
      </c>
      <c r="AD66" s="227">
        <f t="shared" si="158"/>
        <v>1.8592288346730601</v>
      </c>
      <c r="AE66" s="227">
        <f t="shared" si="158"/>
        <v>1.0369915182024358</v>
      </c>
      <c r="AF66" s="227">
        <f t="shared" si="158"/>
        <v>4.6742746557938899</v>
      </c>
      <c r="AG66" s="155">
        <f>VLOOKUP(AB66,Data!A:V,21,FALSE)</f>
        <v>0</v>
      </c>
      <c r="AH66" s="160">
        <f>VLOOKUP(AB66,Data!A:V,22,FALSE)</f>
        <v>0</v>
      </c>
    </row>
    <row r="67" spans="28:47" ht="15" thickBot="1" x14ac:dyDescent="0.45">
      <c r="AB67" s="123" t="s">
        <v>56</v>
      </c>
      <c r="AC67" s="227">
        <f t="shared" ref="AC67:AF67" si="159">AC40/$AC40</f>
        <v>1</v>
      </c>
      <c r="AD67" s="227">
        <f t="shared" si="159"/>
        <v>3.6425707781349748</v>
      </c>
      <c r="AE67" s="227">
        <f t="shared" si="159"/>
        <v>0</v>
      </c>
      <c r="AF67" s="227">
        <f t="shared" si="159"/>
        <v>12.210350121257511</v>
      </c>
      <c r="AG67" s="155">
        <f>VLOOKUP(AB67,Data!A:V,21,FALSE)</f>
        <v>0</v>
      </c>
      <c r="AH67" s="160">
        <f>VLOOKUP(AB67,Data!A:V,22,FALSE)</f>
        <v>3</v>
      </c>
      <c r="AK67" s="226">
        <f>SUM(AC38:AC40)</f>
        <v>0.21807080031983714</v>
      </c>
      <c r="AL67" s="226">
        <f t="shared" ref="AL67" si="160">SUM(AD38:AD40)</f>
        <v>0.49358341559723595</v>
      </c>
      <c r="AM67" s="226">
        <f t="shared" ref="AM67" si="161">SUM(AE38:AE40)</f>
        <v>0.11798481928658512</v>
      </c>
      <c r="AN67" s="226">
        <f t="shared" ref="AN67" si="162">SUM(AF38:AF40)</f>
        <v>1.9500088636766533</v>
      </c>
      <c r="AR67">
        <f>AK67/$AK67</f>
        <v>1</v>
      </c>
      <c r="AS67">
        <f t="shared" ref="AS67" si="163">AL67/$AK67</f>
        <v>2.2634090161237252</v>
      </c>
      <c r="AT67">
        <f t="shared" ref="AT67" si="164">AM67/$AK67</f>
        <v>0.54103905297518395</v>
      </c>
      <c r="AU67">
        <f t="shared" ref="AU67" si="165">AN67/$AK67</f>
        <v>8.9420906458665748</v>
      </c>
    </row>
    <row r="68" spans="28:47" ht="15" thickBot="1" x14ac:dyDescent="0.45">
      <c r="AB68" s="123" t="s">
        <v>70</v>
      </c>
      <c r="AC68" s="227">
        <f t="shared" ref="AC68:AF68" si="166">AC41/$AC41</f>
        <v>1</v>
      </c>
      <c r="AD68" s="227">
        <f t="shared" si="166"/>
        <v>2.1766581479099241</v>
      </c>
      <c r="AE68" s="227">
        <f t="shared" si="166"/>
        <v>0.6070194252892307</v>
      </c>
      <c r="AF68" s="227">
        <f t="shared" si="166"/>
        <v>11.85669668786743</v>
      </c>
      <c r="AG68" s="155">
        <f>VLOOKUP(AB68,Data!A:V,21,FALSE)</f>
        <v>0</v>
      </c>
      <c r="AH68" s="160">
        <f>VLOOKUP(AB68,Data!A:V,22,FALSE)</f>
        <v>2</v>
      </c>
    </row>
    <row r="69" spans="28:47" ht="15" thickBot="1" x14ac:dyDescent="0.45">
      <c r="AB69" s="123" t="s">
        <v>84</v>
      </c>
      <c r="AC69" s="227">
        <f t="shared" ref="AC69:AF69" si="167">AC42/$AC42</f>
        <v>1</v>
      </c>
      <c r="AD69" s="227">
        <f t="shared" si="167"/>
        <v>2.624793648950202</v>
      </c>
      <c r="AE69" s="227">
        <f t="shared" si="167"/>
        <v>1.4639880256975562</v>
      </c>
      <c r="AF69" s="227">
        <f t="shared" si="167"/>
        <v>12.464732415450372</v>
      </c>
      <c r="AG69" s="155">
        <f>VLOOKUP(AB69,Data!A:V,21,FALSE)</f>
        <v>0</v>
      </c>
      <c r="AH69" s="160">
        <f>VLOOKUP(AB69,Data!A:V,22,FALSE)</f>
        <v>1</v>
      </c>
    </row>
    <row r="70" spans="28:47" ht="15" thickBot="1" x14ac:dyDescent="0.45">
      <c r="AB70" s="123" t="s">
        <v>85</v>
      </c>
      <c r="AC70" s="227">
        <f t="shared" ref="AC70:AF70" si="168">AC43/$AC43</f>
        <v>1</v>
      </c>
      <c r="AD70" s="227">
        <f t="shared" si="168"/>
        <v>2.6772895219292057</v>
      </c>
      <c r="AE70" s="227">
        <f t="shared" si="168"/>
        <v>0.49775592873716912</v>
      </c>
      <c r="AF70" s="227">
        <f t="shared" si="168"/>
        <v>3.7394197246351117</v>
      </c>
      <c r="AG70" s="155">
        <f>VLOOKUP(AB70,Data!A:V,21,FALSE)</f>
        <v>0</v>
      </c>
      <c r="AH70" s="160">
        <f>VLOOKUP(AB70,Data!A:V,22,FALSE)</f>
        <v>1</v>
      </c>
      <c r="AK70" s="226">
        <f>SUM(AC41:AC43)</f>
        <v>0.22439169308273099</v>
      </c>
      <c r="AL70" s="226">
        <f t="shared" ref="AL70" si="169">SUM(AD41:AD43)</f>
        <v>0.56409533211112683</v>
      </c>
      <c r="AM70" s="226">
        <f t="shared" ref="AM70" si="170">SUM(AE41:AE43)</f>
        <v>0.19664136547764188</v>
      </c>
      <c r="AN70" s="226">
        <f t="shared" ref="AN70" si="171">SUM(AF41:AF43)</f>
        <v>2.0681912190509957</v>
      </c>
      <c r="AR70">
        <f>AK70/$AK70</f>
        <v>1</v>
      </c>
      <c r="AS70">
        <f t="shared" ref="AS70" si="172">AL70/$AK70</f>
        <v>2.5138868750508983</v>
      </c>
      <c r="AT70">
        <f t="shared" ref="AT70" si="173">AM70/$AK70</f>
        <v>0.87633086045276265</v>
      </c>
      <c r="AU70">
        <f t="shared" ref="AU70" si="174">AN70/$AK70</f>
        <v>9.2168796029738687</v>
      </c>
    </row>
    <row r="71" spans="28:47" ht="15" thickBot="1" x14ac:dyDescent="0.45">
      <c r="AB71" s="123" t="s">
        <v>86</v>
      </c>
      <c r="AC71" s="227">
        <f t="shared" ref="AC71:AF71" si="175">AC44/$AC44</f>
        <v>1</v>
      </c>
      <c r="AD71" s="227">
        <f t="shared" si="175"/>
        <v>0</v>
      </c>
      <c r="AE71" s="227">
        <f t="shared" si="175"/>
        <v>1.1061242860825982</v>
      </c>
      <c r="AF71" s="227">
        <f t="shared" si="175"/>
        <v>5.8168751272101744</v>
      </c>
      <c r="AG71" s="155">
        <f>VLOOKUP(AB71,Data!A:V,21,FALSE)</f>
        <v>0</v>
      </c>
      <c r="AH71" s="160">
        <f>VLOOKUP(AB71,Data!A:V,22,FALSE)</f>
        <v>3</v>
      </c>
    </row>
    <row r="72" spans="28:47" ht="15" thickBot="1" x14ac:dyDescent="0.45">
      <c r="AB72" s="123" t="s">
        <v>87</v>
      </c>
      <c r="AC72" s="227">
        <f t="shared" ref="AC72:AF72" si="176">AC45/$AC45</f>
        <v>1</v>
      </c>
      <c r="AD72" s="227">
        <f t="shared" si="176"/>
        <v>2.6247936489502024</v>
      </c>
      <c r="AE72" s="227">
        <f t="shared" si="176"/>
        <v>1.4639880256975564</v>
      </c>
      <c r="AF72" s="227">
        <f t="shared" si="176"/>
        <v>2.1996586615500662</v>
      </c>
      <c r="AG72" s="155">
        <f>VLOOKUP(AB72,Data!A:V,21,FALSE)</f>
        <v>1</v>
      </c>
      <c r="AH72" s="160">
        <f>VLOOKUP(AB72,Data!A:V,22,FALSE)</f>
        <v>1</v>
      </c>
    </row>
    <row r="73" spans="28:47" ht="15" thickBot="1" x14ac:dyDescent="0.45">
      <c r="AB73" s="123" t="s">
        <v>106</v>
      </c>
      <c r="AC73" s="227">
        <f t="shared" ref="AC73:AF73" si="177">AC46/$AC46</f>
        <v>1</v>
      </c>
      <c r="AD73" s="227">
        <f t="shared" si="177"/>
        <v>7.80876110562685</v>
      </c>
      <c r="AE73" s="227">
        <f t="shared" si="177"/>
        <v>3.1109745546073069</v>
      </c>
      <c r="AF73" s="227">
        <f t="shared" si="177"/>
        <v>9.3485493115877798</v>
      </c>
      <c r="AG73" s="155">
        <f>VLOOKUP(AB73,Data!A:V,21,FALSE)</f>
        <v>0</v>
      </c>
      <c r="AH73" s="160">
        <f>VLOOKUP(AB73,Data!A:V,22,FALSE)</f>
        <v>3</v>
      </c>
      <c r="AK73" s="226">
        <f>SUM(AC44:AC46)</f>
        <v>0.18804655969609146</v>
      </c>
      <c r="AL73" s="226">
        <f t="shared" ref="AL73" si="178">SUM(AD44:AD46)</f>
        <v>0.63460724862501761</v>
      </c>
      <c r="AM73" s="226">
        <f t="shared" ref="AM73" si="179">SUM(AE44:AE46)</f>
        <v>0.35395445785975538</v>
      </c>
      <c r="AN73" s="226">
        <f t="shared" ref="AN73" si="180">SUM(AF44:AF46)</f>
        <v>1.1227323760562546</v>
      </c>
      <c r="AR73">
        <f>AK73/$AK73</f>
        <v>1</v>
      </c>
      <c r="AS73">
        <f t="shared" ref="AS73" si="181">AL73/$AK73</f>
        <v>3.3747346915074026</v>
      </c>
      <c r="AT73">
        <f t="shared" ref="AT73" si="182">AM73/$AK73</f>
        <v>1.8822703187540011</v>
      </c>
      <c r="AU73">
        <f t="shared" ref="AU73" si="183">AN73/$AK73</f>
        <v>5.9705020813501779</v>
      </c>
    </row>
    <row r="74" spans="28:47" ht="15" thickBot="1" x14ac:dyDescent="0.45">
      <c r="AB74" s="123" t="s">
        <v>107</v>
      </c>
      <c r="AC74" s="227">
        <f t="shared" ref="AC74:AF74" si="184">AC47/$AC47</f>
        <v>1</v>
      </c>
      <c r="AD74" s="227">
        <f t="shared" si="184"/>
        <v>1.1589997930429465</v>
      </c>
      <c r="AE74" s="227">
        <f t="shared" si="184"/>
        <v>1.2928725421744653</v>
      </c>
      <c r="AF74" s="227">
        <f t="shared" si="184"/>
        <v>3.399472476941011</v>
      </c>
      <c r="AG74" s="155">
        <f>VLOOKUP(AB74,Data!A:V,21,FALSE)</f>
        <v>1</v>
      </c>
      <c r="AH74" s="160">
        <f>VLOOKUP(AB74,Data!A:V,22,FALSE)</f>
        <v>2</v>
      </c>
    </row>
    <row r="75" spans="28:47" ht="15" thickBot="1" x14ac:dyDescent="0.45">
      <c r="AB75" s="123" t="s">
        <v>108</v>
      </c>
      <c r="AC75" s="227">
        <f t="shared" ref="AC75:AF75" si="185">AC48/$AC48</f>
        <v>1</v>
      </c>
      <c r="AD75" s="227">
        <f t="shared" si="185"/>
        <v>3.6425707781349748</v>
      </c>
      <c r="AE75" s="227">
        <f t="shared" si="185"/>
        <v>3.5553994909797795</v>
      </c>
      <c r="AF75" s="227">
        <f t="shared" si="185"/>
        <v>3.0525875303143777</v>
      </c>
      <c r="AG75" s="155">
        <f>VLOOKUP(AB75,Data!A:V,21,FALSE)</f>
        <v>0</v>
      </c>
      <c r="AH75" s="160">
        <f>VLOOKUP(AB75,Data!A:V,22,FALSE)</f>
        <v>3</v>
      </c>
    </row>
    <row r="76" spans="28:47" ht="15" thickBot="1" x14ac:dyDescent="0.45">
      <c r="AB76" s="123" t="s">
        <v>109</v>
      </c>
      <c r="AC76" s="227">
        <f t="shared" ref="AC76:AF76" si="186">AC49/$AC49</f>
        <v>1</v>
      </c>
      <c r="AD76" s="227">
        <f t="shared" si="186"/>
        <v>0.94939344749262622</v>
      </c>
      <c r="AE76" s="227">
        <f t="shared" si="186"/>
        <v>0</v>
      </c>
      <c r="AF76" s="227">
        <f t="shared" si="186"/>
        <v>3.9781060900373526</v>
      </c>
      <c r="AG76" s="155">
        <f>VLOOKUP(AB76,Data!A:V,21,FALSE)</f>
        <v>0</v>
      </c>
      <c r="AH76" s="160">
        <f>VLOOKUP(AB76,Data!A:V,22,FALSE)</f>
        <v>1</v>
      </c>
      <c r="AK76" s="226">
        <f>SUM(AC47:AC49)</f>
        <v>0.27337861199515823</v>
      </c>
      <c r="AL76" s="226">
        <f t="shared" ref="AL76" si="187">SUM(AD47:AD49)</f>
        <v>0.49358341559723595</v>
      </c>
      <c r="AM76" s="226">
        <f t="shared" ref="AM76" si="188">SUM(AE47:AE49)</f>
        <v>0.4326110040508121</v>
      </c>
      <c r="AN76" s="226">
        <f t="shared" ref="AN76" si="189">SUM(AF47:AF49)</f>
        <v>0.94545884299474081</v>
      </c>
      <c r="AR76">
        <f>AK76/$AK76</f>
        <v>1</v>
      </c>
      <c r="AS76">
        <f t="shared" ref="AS76" si="190">AL76/$AK76</f>
        <v>1.8054938972547632</v>
      </c>
      <c r="AT76">
        <f t="shared" ref="AT76" si="191">AM76/$AK76</f>
        <v>1.5824610451181675</v>
      </c>
      <c r="AU76">
        <f t="shared" ref="AU76" si="192">AN76/$AK76</f>
        <v>3.4584228667145536</v>
      </c>
    </row>
    <row r="77" spans="28:47" ht="15" thickBot="1" x14ac:dyDescent="0.45">
      <c r="AB77" s="123" t="s">
        <v>111</v>
      </c>
      <c r="AC77" s="227">
        <f t="shared" ref="AC77:AF77" si="193">AC50/$AC50</f>
        <v>1</v>
      </c>
      <c r="AD77" s="227">
        <f t="shared" si="193"/>
        <v>4.6480720866826495</v>
      </c>
      <c r="AE77" s="227">
        <f t="shared" si="193"/>
        <v>0.51849575910121792</v>
      </c>
      <c r="AF77" s="227">
        <f t="shared" si="193"/>
        <v>10.127595087553429</v>
      </c>
      <c r="AG77" s="155">
        <f>VLOOKUP(AB77,Data!A:V,21,FALSE)</f>
        <v>0</v>
      </c>
      <c r="AH77" s="160">
        <f>VLOOKUP(AB77,Data!A:V,22,FALSE)</f>
        <v>3</v>
      </c>
    </row>
    <row r="78" spans="28:47" ht="15" thickBot="1" x14ac:dyDescent="0.45">
      <c r="AB78" s="123" t="s">
        <v>113</v>
      </c>
      <c r="AC78" s="227">
        <f t="shared" ref="AC78:AF78" si="194">AC51/$AC51</f>
        <v>1</v>
      </c>
      <c r="AD78" s="227">
        <f t="shared" si="194"/>
        <v>0.81129985513006253</v>
      </c>
      <c r="AE78" s="227">
        <f t="shared" si="194"/>
        <v>0.45250538976106286</v>
      </c>
      <c r="AF78" s="227">
        <f t="shared" si="194"/>
        <v>8.8386284400466284</v>
      </c>
      <c r="AG78" s="155">
        <f>VLOOKUP(AB78,Data!A:V,21,FALSE)</f>
        <v>0</v>
      </c>
      <c r="AH78" s="160">
        <f>VLOOKUP(AB78,Data!A:V,22,FALSE)</f>
        <v>0</v>
      </c>
    </row>
    <row r="79" spans="28:47" ht="15" thickBot="1" x14ac:dyDescent="0.45">
      <c r="AB79" s="124" t="s">
        <v>114</v>
      </c>
      <c r="AC79" s="227">
        <f t="shared" ref="AC79:AF79" si="195">AC52/$AC52</f>
        <v>1</v>
      </c>
      <c r="AD79" s="227">
        <f t="shared" si="195"/>
        <v>0.92961441733653005</v>
      </c>
      <c r="AE79" s="227">
        <f t="shared" si="195"/>
        <v>0.51849575910121792</v>
      </c>
      <c r="AF79" s="227">
        <f t="shared" si="195"/>
        <v>7.0114119836908353</v>
      </c>
      <c r="AG79" s="162">
        <f>VLOOKUP(AB79,Data!A:V,21,FALSE)</f>
        <v>1</v>
      </c>
      <c r="AH79" s="163">
        <f>VLOOKUP(AB79,Data!A:V,22,FALSE)</f>
        <v>1</v>
      </c>
      <c r="AK79" s="226">
        <f>SUM(AC50:AC52)</f>
        <v>0.23861370179924213</v>
      </c>
      <c r="AL79" s="226">
        <f t="shared" ref="AL79" si="196">SUM(AD50:AD52)</f>
        <v>0.49358341559723595</v>
      </c>
      <c r="AM79" s="226">
        <f t="shared" ref="AM79" si="197">SUM(AE50:AE52)</f>
        <v>0.11798481928658512</v>
      </c>
      <c r="AN79" s="226">
        <f t="shared" ref="AN79" si="198">SUM(AF50:AF52)</f>
        <v>2.0681912190509957</v>
      </c>
      <c r="AR79">
        <f>AK79/$AK79</f>
        <v>1</v>
      </c>
      <c r="AS79">
        <f t="shared" ref="AS79" si="199">AL79/$AK79</f>
        <v>2.0685459882455235</v>
      </c>
      <c r="AT79">
        <f t="shared" ref="AT79" si="200">AM79/$AK79</f>
        <v>0.49445953185811503</v>
      </c>
      <c r="AU79">
        <f t="shared" ref="AU79" si="201">AN79/$AK79</f>
        <v>8.6675291630615181</v>
      </c>
    </row>
  </sheetData>
  <sortState xmlns:xlrd2="http://schemas.microsoft.com/office/spreadsheetml/2017/richdata2" ref="A3:X25">
    <sortCondition ref="A25"/>
  </sortState>
  <mergeCells count="1">
    <mergeCell ref="AQ40:AU4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W35"/>
  <sheetViews>
    <sheetView view="pageBreakPreview" zoomScale="93" zoomScaleNormal="100" zoomScaleSheetLayoutView="93" workbookViewId="0">
      <selection activeCell="G37" sqref="G37"/>
    </sheetView>
  </sheetViews>
  <sheetFormatPr defaultColWidth="10.4609375" defaultRowHeight="14.6" x14ac:dyDescent="0.4"/>
  <cols>
    <col min="1" max="1" width="11.23046875" style="1" customWidth="1"/>
    <col min="2" max="2" width="10.23046875" style="1" customWidth="1"/>
    <col min="3" max="20" width="10.23046875" style="2" customWidth="1"/>
    <col min="21" max="22" width="10.23046875" style="1" customWidth="1"/>
    <col min="23" max="16384" width="10.4609375" style="1"/>
  </cols>
  <sheetData>
    <row r="1" spans="1:23" ht="17.600000000000001" x14ac:dyDescent="0.4">
      <c r="A1" s="112" t="s">
        <v>124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3"/>
      <c r="W1" s="3"/>
    </row>
    <row r="2" spans="1:23" ht="12.75" customHeight="1" x14ac:dyDescent="0.4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3"/>
      <c r="W2" s="3"/>
    </row>
    <row r="3" spans="1:23" ht="12.7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x14ac:dyDescent="0.4">
      <c r="A4" s="258" t="s">
        <v>98</v>
      </c>
      <c r="B4" s="260" t="s">
        <v>20</v>
      </c>
      <c r="C4" s="262" t="s">
        <v>19</v>
      </c>
      <c r="D4" s="263"/>
      <c r="E4" s="263"/>
      <c r="F4" s="263"/>
      <c r="G4" s="263"/>
      <c r="H4" s="264"/>
      <c r="I4" s="265" t="s">
        <v>16</v>
      </c>
      <c r="J4" s="266"/>
      <c r="K4" s="267"/>
      <c r="L4" s="255" t="s">
        <v>17</v>
      </c>
      <c r="M4" s="256"/>
      <c r="N4" s="256"/>
      <c r="O4" s="256"/>
      <c r="P4" s="257"/>
      <c r="Q4" s="252" t="s">
        <v>18</v>
      </c>
      <c r="R4" s="253"/>
      <c r="S4" s="253"/>
      <c r="T4" s="253"/>
      <c r="U4" s="253"/>
      <c r="V4" s="254"/>
      <c r="W4" s="3"/>
    </row>
    <row r="5" spans="1:23" ht="36" customHeight="1" thickBot="1" x14ac:dyDescent="0.45">
      <c r="A5" s="259"/>
      <c r="B5" s="261"/>
      <c r="C5" s="115" t="s">
        <v>6</v>
      </c>
      <c r="D5" s="116" t="s">
        <v>7</v>
      </c>
      <c r="E5" s="116" t="s">
        <v>8</v>
      </c>
      <c r="F5" s="116" t="s">
        <v>9</v>
      </c>
      <c r="G5" s="116" t="s">
        <v>23</v>
      </c>
      <c r="H5" s="117" t="s">
        <v>10</v>
      </c>
      <c r="I5" s="47" t="s">
        <v>0</v>
      </c>
      <c r="J5" s="48" t="s">
        <v>1</v>
      </c>
      <c r="K5" s="106" t="s">
        <v>55</v>
      </c>
      <c r="L5" s="107" t="s">
        <v>15</v>
      </c>
      <c r="M5" s="58" t="s">
        <v>2</v>
      </c>
      <c r="N5" s="58" t="s">
        <v>3</v>
      </c>
      <c r="O5" s="58" t="s">
        <v>4</v>
      </c>
      <c r="P5" s="94" t="s">
        <v>5</v>
      </c>
      <c r="Q5" s="64" t="s">
        <v>12</v>
      </c>
      <c r="R5" s="65" t="s">
        <v>11</v>
      </c>
      <c r="S5" s="65" t="s">
        <v>13</v>
      </c>
      <c r="T5" s="65" t="s">
        <v>14</v>
      </c>
      <c r="U5" s="65" t="s">
        <v>76</v>
      </c>
      <c r="V5" s="99" t="s">
        <v>5</v>
      </c>
      <c r="W5" s="3"/>
    </row>
    <row r="6" spans="1:23" s="7" customFormat="1" ht="12.75" customHeight="1" x14ac:dyDescent="0.4">
      <c r="A6" s="41" t="s">
        <v>43</v>
      </c>
      <c r="B6" s="78">
        <v>57</v>
      </c>
      <c r="C6" s="83">
        <v>25</v>
      </c>
      <c r="D6" s="5">
        <v>4</v>
      </c>
      <c r="E6" s="5">
        <v>35</v>
      </c>
      <c r="F6" s="5">
        <v>2</v>
      </c>
      <c r="G6" s="5">
        <v>4</v>
      </c>
      <c r="H6" s="84">
        <v>0</v>
      </c>
      <c r="I6" s="44">
        <v>49</v>
      </c>
      <c r="J6" s="45">
        <v>8</v>
      </c>
      <c r="K6" s="46">
        <v>0</v>
      </c>
      <c r="L6" s="55">
        <v>1</v>
      </c>
      <c r="M6" s="56">
        <v>32</v>
      </c>
      <c r="N6" s="56">
        <v>24</v>
      </c>
      <c r="O6" s="56">
        <v>0</v>
      </c>
      <c r="P6" s="93">
        <v>0</v>
      </c>
      <c r="Q6" s="62">
        <v>48</v>
      </c>
      <c r="R6" s="63">
        <v>2</v>
      </c>
      <c r="S6" s="63">
        <v>2</v>
      </c>
      <c r="T6" s="63">
        <v>5</v>
      </c>
      <c r="U6" s="63">
        <v>0</v>
      </c>
      <c r="V6" s="98">
        <v>0</v>
      </c>
      <c r="W6" s="108"/>
    </row>
    <row r="7" spans="1:23" ht="12.75" customHeight="1" x14ac:dyDescent="0.4">
      <c r="A7" s="41" t="s">
        <v>44</v>
      </c>
      <c r="B7" s="79">
        <v>59</v>
      </c>
      <c r="C7" s="85">
        <v>31</v>
      </c>
      <c r="D7" s="4">
        <v>7</v>
      </c>
      <c r="E7" s="4">
        <v>31</v>
      </c>
      <c r="F7" s="4">
        <v>0</v>
      </c>
      <c r="G7" s="4">
        <v>5</v>
      </c>
      <c r="H7" s="86">
        <v>0</v>
      </c>
      <c r="I7" s="44">
        <v>52</v>
      </c>
      <c r="J7" s="45">
        <v>7</v>
      </c>
      <c r="K7" s="46">
        <v>0</v>
      </c>
      <c r="L7" s="55">
        <v>3</v>
      </c>
      <c r="M7" s="56">
        <v>18</v>
      </c>
      <c r="N7" s="56">
        <v>38</v>
      </c>
      <c r="O7" s="56">
        <v>0</v>
      </c>
      <c r="P7" s="93">
        <v>0</v>
      </c>
      <c r="Q7" s="62">
        <v>49</v>
      </c>
      <c r="R7" s="63">
        <v>1</v>
      </c>
      <c r="S7" s="63">
        <v>0</v>
      </c>
      <c r="T7" s="63">
        <v>7</v>
      </c>
      <c r="U7" s="63">
        <v>0</v>
      </c>
      <c r="V7" s="98">
        <v>2</v>
      </c>
      <c r="W7" s="3"/>
    </row>
    <row r="8" spans="1:23" ht="12.75" customHeight="1" x14ac:dyDescent="0.4">
      <c r="A8" s="42" t="s">
        <v>46</v>
      </c>
      <c r="B8" s="79">
        <v>36</v>
      </c>
      <c r="C8" s="85">
        <v>18</v>
      </c>
      <c r="D8" s="4">
        <v>6</v>
      </c>
      <c r="E8" s="4">
        <v>17</v>
      </c>
      <c r="F8" s="4">
        <v>0</v>
      </c>
      <c r="G8" s="4">
        <v>1</v>
      </c>
      <c r="H8" s="86">
        <v>0</v>
      </c>
      <c r="I8" s="47">
        <v>31</v>
      </c>
      <c r="J8" s="48">
        <v>5</v>
      </c>
      <c r="K8" s="49">
        <v>0</v>
      </c>
      <c r="L8" s="57">
        <v>6</v>
      </c>
      <c r="M8" s="58">
        <v>17</v>
      </c>
      <c r="N8" s="58">
        <v>13</v>
      </c>
      <c r="O8" s="58">
        <v>0</v>
      </c>
      <c r="P8" s="94">
        <v>0</v>
      </c>
      <c r="Q8" s="64">
        <v>29</v>
      </c>
      <c r="R8" s="65">
        <v>1</v>
      </c>
      <c r="S8" s="65">
        <v>1</v>
      </c>
      <c r="T8" s="65">
        <v>5</v>
      </c>
      <c r="U8" s="65">
        <v>0</v>
      </c>
      <c r="V8" s="99">
        <v>1</v>
      </c>
      <c r="W8" s="3"/>
    </row>
    <row r="9" spans="1:23" ht="12.75" customHeight="1" x14ac:dyDescent="0.4">
      <c r="A9" s="42" t="s">
        <v>47</v>
      </c>
      <c r="B9" s="79">
        <v>42</v>
      </c>
      <c r="C9" s="85">
        <v>20</v>
      </c>
      <c r="D9" s="4">
        <v>4</v>
      </c>
      <c r="E9" s="4">
        <v>21</v>
      </c>
      <c r="F9" s="4">
        <v>0</v>
      </c>
      <c r="G9" s="4">
        <v>3</v>
      </c>
      <c r="H9" s="86">
        <v>0</v>
      </c>
      <c r="I9" s="50">
        <v>41</v>
      </c>
      <c r="J9" s="51">
        <v>1</v>
      </c>
      <c r="K9" s="49">
        <v>0</v>
      </c>
      <c r="L9" s="57">
        <v>3</v>
      </c>
      <c r="M9" s="59">
        <v>24</v>
      </c>
      <c r="N9" s="59">
        <v>15</v>
      </c>
      <c r="O9" s="59">
        <v>0</v>
      </c>
      <c r="P9" s="95">
        <v>0</v>
      </c>
      <c r="Q9" s="66">
        <v>31</v>
      </c>
      <c r="R9" s="67">
        <v>1</v>
      </c>
      <c r="S9" s="67">
        <v>0</v>
      </c>
      <c r="T9" s="67">
        <v>7</v>
      </c>
      <c r="U9" s="67">
        <v>0</v>
      </c>
      <c r="V9" s="100">
        <v>3</v>
      </c>
      <c r="W9" s="3"/>
    </row>
    <row r="10" spans="1:23" ht="12.75" customHeight="1" x14ac:dyDescent="0.4">
      <c r="A10" s="42" t="s">
        <v>48</v>
      </c>
      <c r="B10" s="79">
        <v>41</v>
      </c>
      <c r="C10" s="85">
        <v>22</v>
      </c>
      <c r="D10" s="4">
        <v>6</v>
      </c>
      <c r="E10" s="4">
        <v>21</v>
      </c>
      <c r="F10" s="4">
        <v>0</v>
      </c>
      <c r="G10" s="4">
        <v>5</v>
      </c>
      <c r="H10" s="86">
        <v>0</v>
      </c>
      <c r="I10" s="50">
        <v>36</v>
      </c>
      <c r="J10" s="51">
        <v>5</v>
      </c>
      <c r="K10" s="49">
        <v>0</v>
      </c>
      <c r="L10" s="57">
        <v>2</v>
      </c>
      <c r="M10" s="59">
        <v>13</v>
      </c>
      <c r="N10" s="59">
        <v>25</v>
      </c>
      <c r="O10" s="59">
        <v>0</v>
      </c>
      <c r="P10" s="95">
        <v>0</v>
      </c>
      <c r="Q10" s="66">
        <v>38</v>
      </c>
      <c r="R10" s="67">
        <v>2</v>
      </c>
      <c r="S10" s="67">
        <v>1</v>
      </c>
      <c r="T10" s="67">
        <v>0</v>
      </c>
      <c r="U10" s="67">
        <v>0</v>
      </c>
      <c r="V10" s="100">
        <v>0</v>
      </c>
      <c r="W10" s="3"/>
    </row>
    <row r="11" spans="1:23" ht="12.75" customHeight="1" x14ac:dyDescent="0.4">
      <c r="A11" s="42" t="s">
        <v>56</v>
      </c>
      <c r="B11" s="79">
        <v>73</v>
      </c>
      <c r="C11" s="85">
        <v>38</v>
      </c>
      <c r="D11" s="4">
        <v>14</v>
      </c>
      <c r="E11" s="4">
        <v>67</v>
      </c>
      <c r="F11" s="4">
        <v>2</v>
      </c>
      <c r="G11" s="4">
        <v>8</v>
      </c>
      <c r="H11" s="86">
        <v>0</v>
      </c>
      <c r="I11" s="50">
        <v>64</v>
      </c>
      <c r="J11" s="51">
        <v>7</v>
      </c>
      <c r="K11" s="49">
        <v>2</v>
      </c>
      <c r="L11" s="57">
        <v>10</v>
      </c>
      <c r="M11" s="58">
        <v>33</v>
      </c>
      <c r="N11" s="58">
        <v>28</v>
      </c>
      <c r="O11" s="58">
        <v>0</v>
      </c>
      <c r="P11" s="94">
        <v>2</v>
      </c>
      <c r="Q11" s="66">
        <v>61</v>
      </c>
      <c r="R11" s="67">
        <v>1</v>
      </c>
      <c r="S11" s="67">
        <v>4</v>
      </c>
      <c r="T11" s="67">
        <v>4</v>
      </c>
      <c r="U11" s="67">
        <v>0</v>
      </c>
      <c r="V11" s="100">
        <v>3</v>
      </c>
      <c r="W11" s="3"/>
    </row>
    <row r="12" spans="1:23" ht="12.75" customHeight="1" x14ac:dyDescent="0.4">
      <c r="A12" s="43" t="s">
        <v>70</v>
      </c>
      <c r="B12" s="80">
        <v>68</v>
      </c>
      <c r="C12" s="87">
        <v>34</v>
      </c>
      <c r="D12" s="73">
        <v>17</v>
      </c>
      <c r="E12" s="73">
        <v>57</v>
      </c>
      <c r="F12" s="73">
        <v>3</v>
      </c>
      <c r="G12" s="73">
        <v>13</v>
      </c>
      <c r="H12" s="88">
        <v>0</v>
      </c>
      <c r="I12" s="50">
        <v>57</v>
      </c>
      <c r="J12" s="51">
        <v>10</v>
      </c>
      <c r="K12" s="49">
        <v>1</v>
      </c>
      <c r="L12" s="57">
        <v>5</v>
      </c>
      <c r="M12" s="58">
        <v>24</v>
      </c>
      <c r="N12" s="58">
        <v>39</v>
      </c>
      <c r="O12" s="58">
        <v>0</v>
      </c>
      <c r="P12" s="94">
        <v>0</v>
      </c>
      <c r="Q12" s="66">
        <v>55</v>
      </c>
      <c r="R12" s="67">
        <v>3</v>
      </c>
      <c r="S12" s="67">
        <v>1</v>
      </c>
      <c r="T12" s="67">
        <v>7</v>
      </c>
      <c r="U12" s="67">
        <v>0</v>
      </c>
      <c r="V12" s="100">
        <v>2</v>
      </c>
      <c r="W12" s="3"/>
    </row>
    <row r="13" spans="1:23" ht="12.75" customHeight="1" x14ac:dyDescent="0.4">
      <c r="A13" s="42" t="s">
        <v>84</v>
      </c>
      <c r="B13" s="80">
        <v>56</v>
      </c>
      <c r="C13" s="87">
        <v>28</v>
      </c>
      <c r="D13" s="73">
        <v>5</v>
      </c>
      <c r="E13" s="73">
        <v>31</v>
      </c>
      <c r="F13" s="73">
        <v>3</v>
      </c>
      <c r="G13" s="73">
        <v>1</v>
      </c>
      <c r="H13" s="88">
        <v>0</v>
      </c>
      <c r="I13" s="50">
        <v>55</v>
      </c>
      <c r="J13" s="51">
        <v>1</v>
      </c>
      <c r="K13" s="49">
        <v>0</v>
      </c>
      <c r="L13" s="57">
        <v>4</v>
      </c>
      <c r="M13" s="58">
        <v>24</v>
      </c>
      <c r="N13" s="58">
        <v>25</v>
      </c>
      <c r="O13" s="58">
        <v>0</v>
      </c>
      <c r="P13" s="94">
        <v>1</v>
      </c>
      <c r="Q13" s="66">
        <v>40</v>
      </c>
      <c r="R13" s="67">
        <v>5</v>
      </c>
      <c r="S13" s="67">
        <v>1</v>
      </c>
      <c r="T13" s="67">
        <v>9</v>
      </c>
      <c r="U13" s="67">
        <v>0</v>
      </c>
      <c r="V13" s="100">
        <v>1</v>
      </c>
      <c r="W13" s="3"/>
    </row>
    <row r="14" spans="1:23" ht="12.75" customHeight="1" x14ac:dyDescent="0.4">
      <c r="A14" s="42" t="s">
        <v>85</v>
      </c>
      <c r="B14" s="79">
        <v>57</v>
      </c>
      <c r="C14" s="85">
        <v>30</v>
      </c>
      <c r="D14" s="4">
        <v>9</v>
      </c>
      <c r="E14" s="4">
        <v>26</v>
      </c>
      <c r="F14" s="4">
        <v>0</v>
      </c>
      <c r="G14" s="4">
        <v>2</v>
      </c>
      <c r="H14" s="86">
        <v>0</v>
      </c>
      <c r="I14" s="50">
        <v>54</v>
      </c>
      <c r="J14" s="51">
        <v>3</v>
      </c>
      <c r="K14" s="49">
        <v>0</v>
      </c>
      <c r="L14" s="57">
        <v>4</v>
      </c>
      <c r="M14" s="58">
        <v>29</v>
      </c>
      <c r="N14" s="58">
        <v>23</v>
      </c>
      <c r="O14" s="58">
        <v>0</v>
      </c>
      <c r="P14" s="94">
        <v>1</v>
      </c>
      <c r="Q14" s="66">
        <v>50</v>
      </c>
      <c r="R14" s="67">
        <v>0</v>
      </c>
      <c r="S14" s="67">
        <v>0</v>
      </c>
      <c r="T14" s="67">
        <v>6</v>
      </c>
      <c r="U14" s="67">
        <v>0</v>
      </c>
      <c r="V14" s="100">
        <v>1</v>
      </c>
      <c r="W14" s="3"/>
    </row>
    <row r="15" spans="1:23" ht="12.75" customHeight="1" x14ac:dyDescent="0.4">
      <c r="A15" s="42" t="s">
        <v>86</v>
      </c>
      <c r="B15" s="79">
        <v>57</v>
      </c>
      <c r="C15" s="85">
        <v>27</v>
      </c>
      <c r="D15" s="4">
        <v>2</v>
      </c>
      <c r="E15" s="4">
        <v>26</v>
      </c>
      <c r="F15" s="4">
        <v>0</v>
      </c>
      <c r="G15" s="4">
        <v>6</v>
      </c>
      <c r="H15" s="86">
        <v>0</v>
      </c>
      <c r="I15" s="50">
        <v>51</v>
      </c>
      <c r="J15" s="51">
        <v>4</v>
      </c>
      <c r="K15" s="49">
        <v>2</v>
      </c>
      <c r="L15" s="57">
        <v>6</v>
      </c>
      <c r="M15" s="58">
        <v>27</v>
      </c>
      <c r="N15" s="58">
        <v>20</v>
      </c>
      <c r="O15" s="58">
        <v>2</v>
      </c>
      <c r="P15" s="94">
        <v>2</v>
      </c>
      <c r="Q15" s="66">
        <v>41</v>
      </c>
      <c r="R15" s="67">
        <v>1</v>
      </c>
      <c r="S15" s="67">
        <v>1</v>
      </c>
      <c r="T15" s="67">
        <v>11</v>
      </c>
      <c r="U15" s="67">
        <v>0</v>
      </c>
      <c r="V15" s="100">
        <v>3</v>
      </c>
      <c r="W15" s="3"/>
    </row>
    <row r="16" spans="1:23" ht="12.75" customHeight="1" x14ac:dyDescent="0.4">
      <c r="A16" s="42" t="s">
        <v>87</v>
      </c>
      <c r="B16" s="79">
        <v>60</v>
      </c>
      <c r="C16" s="85">
        <v>24</v>
      </c>
      <c r="D16" s="4">
        <v>10</v>
      </c>
      <c r="E16" s="4">
        <v>28</v>
      </c>
      <c r="F16" s="4">
        <v>0</v>
      </c>
      <c r="G16" s="4">
        <v>2</v>
      </c>
      <c r="H16" s="86">
        <v>0</v>
      </c>
      <c r="I16" s="50">
        <v>56</v>
      </c>
      <c r="J16" s="51">
        <v>3</v>
      </c>
      <c r="K16" s="49">
        <v>1</v>
      </c>
      <c r="L16" s="57">
        <v>9</v>
      </c>
      <c r="M16" s="59">
        <v>20</v>
      </c>
      <c r="N16" s="59">
        <v>30</v>
      </c>
      <c r="O16" s="59">
        <v>0</v>
      </c>
      <c r="P16" s="95">
        <v>1</v>
      </c>
      <c r="Q16" s="66">
        <v>48</v>
      </c>
      <c r="R16" s="67">
        <v>2</v>
      </c>
      <c r="S16" s="67">
        <v>2</v>
      </c>
      <c r="T16" s="67">
        <v>6</v>
      </c>
      <c r="U16" s="67">
        <v>1</v>
      </c>
      <c r="V16" s="100">
        <v>1</v>
      </c>
      <c r="W16" s="3"/>
    </row>
    <row r="17" spans="1:23" ht="12.75" customHeight="1" x14ac:dyDescent="0.4">
      <c r="A17" s="43" t="s">
        <v>106</v>
      </c>
      <c r="B17" s="101">
        <v>72</v>
      </c>
      <c r="C17" s="102">
        <v>24</v>
      </c>
      <c r="D17" s="8">
        <v>12</v>
      </c>
      <c r="E17" s="8">
        <v>31</v>
      </c>
      <c r="F17" s="8">
        <v>1</v>
      </c>
      <c r="G17" s="8">
        <v>4</v>
      </c>
      <c r="H17" s="103">
        <v>0</v>
      </c>
      <c r="I17" s="52">
        <v>62</v>
      </c>
      <c r="J17" s="53">
        <v>7</v>
      </c>
      <c r="K17" s="54">
        <v>3</v>
      </c>
      <c r="L17" s="60">
        <v>10</v>
      </c>
      <c r="M17" s="61">
        <v>26</v>
      </c>
      <c r="N17" s="61">
        <v>32</v>
      </c>
      <c r="O17" s="61">
        <v>2</v>
      </c>
      <c r="P17" s="104">
        <v>0</v>
      </c>
      <c r="Q17" s="68">
        <v>49</v>
      </c>
      <c r="R17" s="69">
        <v>4</v>
      </c>
      <c r="S17" s="69">
        <v>0</v>
      </c>
      <c r="T17" s="69">
        <v>16</v>
      </c>
      <c r="U17" s="69">
        <v>0</v>
      </c>
      <c r="V17" s="105">
        <v>3</v>
      </c>
      <c r="W17" s="3"/>
    </row>
    <row r="18" spans="1:23" ht="12.75" customHeight="1" x14ac:dyDescent="0.4">
      <c r="A18" s="43" t="s">
        <v>107</v>
      </c>
      <c r="B18" s="101">
        <v>60</v>
      </c>
      <c r="C18" s="102">
        <v>17</v>
      </c>
      <c r="D18" s="8">
        <v>7</v>
      </c>
      <c r="E18" s="8">
        <v>32</v>
      </c>
      <c r="F18" s="8">
        <v>2</v>
      </c>
      <c r="G18" s="8">
        <v>4</v>
      </c>
      <c r="H18" s="103">
        <v>0</v>
      </c>
      <c r="I18" s="52">
        <v>60</v>
      </c>
      <c r="J18" s="53">
        <v>0</v>
      </c>
      <c r="K18" s="54">
        <v>0</v>
      </c>
      <c r="L18" s="60">
        <v>5</v>
      </c>
      <c r="M18" s="61">
        <v>25</v>
      </c>
      <c r="N18" s="61">
        <v>28</v>
      </c>
      <c r="O18" s="61">
        <v>1</v>
      </c>
      <c r="P18" s="104">
        <v>1</v>
      </c>
      <c r="Q18" s="68">
        <v>41</v>
      </c>
      <c r="R18" s="69">
        <v>2</v>
      </c>
      <c r="S18" s="69">
        <v>1</v>
      </c>
      <c r="T18" s="69">
        <v>13</v>
      </c>
      <c r="U18" s="69">
        <v>1</v>
      </c>
      <c r="V18" s="105">
        <v>2</v>
      </c>
      <c r="W18" s="3"/>
    </row>
    <row r="19" spans="1:23" ht="12.75" customHeight="1" x14ac:dyDescent="0.4">
      <c r="A19" s="43" t="s">
        <v>108</v>
      </c>
      <c r="B19" s="101">
        <v>77</v>
      </c>
      <c r="C19" s="102">
        <v>23</v>
      </c>
      <c r="D19" s="8">
        <v>6</v>
      </c>
      <c r="E19" s="8">
        <v>37</v>
      </c>
      <c r="F19" s="8">
        <v>1</v>
      </c>
      <c r="G19" s="8">
        <v>5</v>
      </c>
      <c r="H19" s="103">
        <v>0</v>
      </c>
      <c r="I19" s="52">
        <v>69</v>
      </c>
      <c r="J19" s="53">
        <v>8</v>
      </c>
      <c r="K19" s="54">
        <v>0</v>
      </c>
      <c r="L19" s="60">
        <v>10</v>
      </c>
      <c r="M19" s="61">
        <v>26</v>
      </c>
      <c r="N19" s="61">
        <v>35</v>
      </c>
      <c r="O19" s="61">
        <v>1</v>
      </c>
      <c r="P19" s="104">
        <v>5</v>
      </c>
      <c r="Q19" s="68">
        <v>51</v>
      </c>
      <c r="R19" s="69">
        <v>3</v>
      </c>
      <c r="S19" s="69">
        <v>3</v>
      </c>
      <c r="T19" s="69">
        <v>17</v>
      </c>
      <c r="U19" s="69">
        <v>0</v>
      </c>
      <c r="V19" s="105">
        <v>3</v>
      </c>
      <c r="W19" s="3"/>
    </row>
    <row r="20" spans="1:23" ht="12.75" customHeight="1" x14ac:dyDescent="0.4">
      <c r="A20" s="43" t="s">
        <v>109</v>
      </c>
      <c r="B20" s="101">
        <v>60</v>
      </c>
      <c r="C20" s="102">
        <v>18</v>
      </c>
      <c r="D20" s="8">
        <v>6</v>
      </c>
      <c r="E20" s="8">
        <v>32</v>
      </c>
      <c r="F20" s="8">
        <v>2</v>
      </c>
      <c r="G20" s="8">
        <v>2</v>
      </c>
      <c r="H20" s="103">
        <v>0</v>
      </c>
      <c r="I20" s="52">
        <v>50</v>
      </c>
      <c r="J20" s="53">
        <v>9</v>
      </c>
      <c r="K20" s="54">
        <v>1</v>
      </c>
      <c r="L20" s="60">
        <v>6</v>
      </c>
      <c r="M20" s="61">
        <v>22</v>
      </c>
      <c r="N20" s="61">
        <v>31</v>
      </c>
      <c r="O20" s="61">
        <v>1</v>
      </c>
      <c r="P20" s="104">
        <v>0</v>
      </c>
      <c r="Q20" s="68">
        <v>50</v>
      </c>
      <c r="R20" s="69">
        <v>3</v>
      </c>
      <c r="S20" s="69">
        <v>1</v>
      </c>
      <c r="T20" s="69">
        <v>5</v>
      </c>
      <c r="U20" s="69">
        <v>0</v>
      </c>
      <c r="V20" s="105">
        <v>1</v>
      </c>
      <c r="W20" s="3"/>
    </row>
    <row r="21" spans="1:23" ht="12.75" customHeight="1" x14ac:dyDescent="0.4">
      <c r="A21" s="43" t="s">
        <v>111</v>
      </c>
      <c r="B21" s="101">
        <v>57</v>
      </c>
      <c r="C21" s="102">
        <v>15</v>
      </c>
      <c r="D21" s="8">
        <v>3</v>
      </c>
      <c r="E21" s="8">
        <v>29</v>
      </c>
      <c r="F21" s="8">
        <v>1</v>
      </c>
      <c r="G21" s="8">
        <v>4</v>
      </c>
      <c r="H21" s="103">
        <v>0</v>
      </c>
      <c r="I21" s="52">
        <v>50</v>
      </c>
      <c r="J21" s="53">
        <v>6</v>
      </c>
      <c r="K21" s="54">
        <v>1</v>
      </c>
      <c r="L21" s="60">
        <v>8</v>
      </c>
      <c r="M21" s="61">
        <v>24</v>
      </c>
      <c r="N21" s="61">
        <v>25</v>
      </c>
      <c r="O21" s="61">
        <v>0</v>
      </c>
      <c r="P21" s="104">
        <v>0</v>
      </c>
      <c r="Q21" s="68">
        <v>45</v>
      </c>
      <c r="R21" s="69">
        <v>0</v>
      </c>
      <c r="S21" s="69">
        <v>2</v>
      </c>
      <c r="T21" s="69">
        <v>7</v>
      </c>
      <c r="U21" s="69">
        <v>0</v>
      </c>
      <c r="V21" s="105">
        <v>3</v>
      </c>
      <c r="W21" s="3"/>
    </row>
    <row r="22" spans="1:23" ht="12.75" customHeight="1" x14ac:dyDescent="0.4">
      <c r="A22" s="43" t="s">
        <v>113</v>
      </c>
      <c r="B22" s="101">
        <v>40</v>
      </c>
      <c r="C22" s="102">
        <v>13</v>
      </c>
      <c r="D22" s="8">
        <v>3</v>
      </c>
      <c r="E22" s="8">
        <v>19</v>
      </c>
      <c r="F22" s="8">
        <v>0</v>
      </c>
      <c r="G22" s="8">
        <v>2</v>
      </c>
      <c r="H22" s="103">
        <v>0</v>
      </c>
      <c r="I22" s="52">
        <v>34</v>
      </c>
      <c r="J22" s="53">
        <v>6</v>
      </c>
      <c r="K22" s="54">
        <v>0</v>
      </c>
      <c r="L22" s="60">
        <v>4</v>
      </c>
      <c r="M22" s="61">
        <v>15</v>
      </c>
      <c r="N22" s="61">
        <v>20</v>
      </c>
      <c r="O22" s="61">
        <v>1</v>
      </c>
      <c r="P22" s="104">
        <v>0</v>
      </c>
      <c r="Q22" s="68">
        <v>34</v>
      </c>
      <c r="R22" s="69">
        <v>2</v>
      </c>
      <c r="S22" s="69">
        <v>2</v>
      </c>
      <c r="T22" s="69">
        <v>2</v>
      </c>
      <c r="U22" s="69">
        <v>0</v>
      </c>
      <c r="V22" s="105">
        <v>0</v>
      </c>
      <c r="W22" s="3"/>
    </row>
    <row r="23" spans="1:23" ht="12.75" customHeight="1" x14ac:dyDescent="0.4">
      <c r="A23" s="43" t="s">
        <v>114</v>
      </c>
      <c r="B23" s="101">
        <v>64</v>
      </c>
      <c r="C23" s="102">
        <v>22</v>
      </c>
      <c r="D23" s="8">
        <v>4</v>
      </c>
      <c r="E23" s="8">
        <v>26</v>
      </c>
      <c r="F23" s="8">
        <v>2</v>
      </c>
      <c r="G23" s="8">
        <v>6</v>
      </c>
      <c r="H23" s="103">
        <v>0</v>
      </c>
      <c r="I23" s="52">
        <v>57</v>
      </c>
      <c r="J23" s="53">
        <v>7</v>
      </c>
      <c r="K23" s="54">
        <v>0</v>
      </c>
      <c r="L23" s="60">
        <v>9</v>
      </c>
      <c r="M23" s="61">
        <v>25</v>
      </c>
      <c r="N23" s="61">
        <v>29</v>
      </c>
      <c r="O23" s="61">
        <v>1</v>
      </c>
      <c r="P23" s="104">
        <v>0</v>
      </c>
      <c r="Q23" s="68">
        <v>40</v>
      </c>
      <c r="R23" s="69">
        <v>7</v>
      </c>
      <c r="S23" s="69">
        <v>5</v>
      </c>
      <c r="T23" s="69">
        <v>10</v>
      </c>
      <c r="U23" s="69">
        <v>1</v>
      </c>
      <c r="V23" s="105">
        <v>1</v>
      </c>
      <c r="W23" s="3"/>
    </row>
    <row r="24" spans="1:23" ht="12.75" customHeight="1" x14ac:dyDescent="0.4">
      <c r="A24" s="43" t="s">
        <v>118</v>
      </c>
      <c r="B24" s="101">
        <v>93</v>
      </c>
      <c r="C24" s="102">
        <v>32</v>
      </c>
      <c r="D24" s="8">
        <v>9</v>
      </c>
      <c r="E24" s="8">
        <v>44</v>
      </c>
      <c r="F24" s="8">
        <v>2</v>
      </c>
      <c r="G24" s="8">
        <v>8</v>
      </c>
      <c r="H24" s="103">
        <v>0</v>
      </c>
      <c r="I24" s="52">
        <v>84</v>
      </c>
      <c r="J24" s="53">
        <v>9</v>
      </c>
      <c r="K24" s="54">
        <v>0</v>
      </c>
      <c r="L24" s="60">
        <v>7</v>
      </c>
      <c r="M24" s="61">
        <v>36</v>
      </c>
      <c r="N24" s="61">
        <v>50</v>
      </c>
      <c r="O24" s="61">
        <v>0</v>
      </c>
      <c r="P24" s="104">
        <v>0</v>
      </c>
      <c r="Q24" s="68">
        <v>77</v>
      </c>
      <c r="R24" s="69">
        <v>2</v>
      </c>
      <c r="S24" s="69">
        <v>4</v>
      </c>
      <c r="T24" s="69">
        <v>7</v>
      </c>
      <c r="U24" s="69">
        <v>0</v>
      </c>
      <c r="V24" s="105">
        <v>3</v>
      </c>
      <c r="W24" s="3"/>
    </row>
    <row r="25" spans="1:23" ht="12.75" customHeight="1" x14ac:dyDescent="0.4">
      <c r="A25" s="43" t="s">
        <v>119</v>
      </c>
      <c r="B25" s="101">
        <v>69</v>
      </c>
      <c r="C25" s="102">
        <v>19</v>
      </c>
      <c r="D25" s="8">
        <v>7</v>
      </c>
      <c r="E25" s="8">
        <v>33</v>
      </c>
      <c r="F25" s="8">
        <v>0</v>
      </c>
      <c r="G25" s="8">
        <v>2</v>
      </c>
      <c r="H25" s="103">
        <v>0</v>
      </c>
      <c r="I25" s="52">
        <v>60</v>
      </c>
      <c r="J25" s="53">
        <v>9</v>
      </c>
      <c r="K25" s="54">
        <v>0</v>
      </c>
      <c r="L25" s="60">
        <v>13</v>
      </c>
      <c r="M25" s="61">
        <v>23</v>
      </c>
      <c r="N25" s="61">
        <v>31</v>
      </c>
      <c r="O25" s="61">
        <v>2</v>
      </c>
      <c r="P25" s="104">
        <v>0</v>
      </c>
      <c r="Q25" s="68">
        <v>49</v>
      </c>
      <c r="R25" s="69">
        <v>4</v>
      </c>
      <c r="S25" s="69">
        <v>7</v>
      </c>
      <c r="T25" s="69">
        <v>4</v>
      </c>
      <c r="U25" s="69">
        <v>2</v>
      </c>
      <c r="V25" s="105">
        <v>3</v>
      </c>
      <c r="W25" s="3"/>
    </row>
    <row r="26" spans="1:23" ht="12.75" customHeight="1" x14ac:dyDescent="0.4">
      <c r="A26" s="43" t="s">
        <v>120</v>
      </c>
      <c r="B26" s="101">
        <v>55</v>
      </c>
      <c r="C26" s="102">
        <v>12</v>
      </c>
      <c r="D26" s="8">
        <v>5</v>
      </c>
      <c r="E26" s="8">
        <v>42</v>
      </c>
      <c r="F26" s="8">
        <v>1</v>
      </c>
      <c r="G26" s="8">
        <v>5</v>
      </c>
      <c r="H26" s="103">
        <v>0</v>
      </c>
      <c r="I26" s="52">
        <v>50</v>
      </c>
      <c r="J26" s="53">
        <v>4</v>
      </c>
      <c r="K26" s="54">
        <v>1</v>
      </c>
      <c r="L26" s="60">
        <v>7</v>
      </c>
      <c r="M26" s="61">
        <v>33</v>
      </c>
      <c r="N26" s="61">
        <v>14</v>
      </c>
      <c r="O26" s="61">
        <v>0</v>
      </c>
      <c r="P26" s="104">
        <v>1</v>
      </c>
      <c r="Q26" s="68">
        <v>47</v>
      </c>
      <c r="R26" s="69">
        <v>1</v>
      </c>
      <c r="S26" s="69">
        <v>0</v>
      </c>
      <c r="T26" s="69">
        <v>5</v>
      </c>
      <c r="U26" s="69">
        <v>0</v>
      </c>
      <c r="V26" s="105">
        <v>2</v>
      </c>
      <c r="W26" s="3"/>
    </row>
    <row r="27" spans="1:23" ht="12.75" customHeight="1" x14ac:dyDescent="0.4">
      <c r="A27" s="43" t="s">
        <v>121</v>
      </c>
      <c r="B27" s="101">
        <v>70</v>
      </c>
      <c r="C27" s="102">
        <v>12</v>
      </c>
      <c r="D27" s="8">
        <v>7</v>
      </c>
      <c r="E27" s="8">
        <v>44</v>
      </c>
      <c r="F27" s="8">
        <v>2</v>
      </c>
      <c r="G27" s="8">
        <v>4</v>
      </c>
      <c r="H27" s="103">
        <v>0</v>
      </c>
      <c r="I27" s="52">
        <v>61</v>
      </c>
      <c r="J27" s="53">
        <v>8</v>
      </c>
      <c r="K27" s="54">
        <v>1</v>
      </c>
      <c r="L27" s="60">
        <v>10</v>
      </c>
      <c r="M27" s="61">
        <v>30</v>
      </c>
      <c r="N27" s="61">
        <v>30</v>
      </c>
      <c r="O27" s="61">
        <v>0</v>
      </c>
      <c r="P27" s="104">
        <v>0</v>
      </c>
      <c r="Q27" s="68">
        <v>48</v>
      </c>
      <c r="R27" s="69">
        <v>5</v>
      </c>
      <c r="S27" s="69">
        <v>1</v>
      </c>
      <c r="T27" s="69">
        <v>13</v>
      </c>
      <c r="U27" s="69">
        <v>2</v>
      </c>
      <c r="V27" s="105">
        <v>1</v>
      </c>
      <c r="W27" s="3"/>
    </row>
    <row r="28" spans="1:23" ht="12.75" customHeight="1" x14ac:dyDescent="0.4">
      <c r="A28" s="43" t="s">
        <v>122</v>
      </c>
      <c r="B28" s="101">
        <v>70</v>
      </c>
      <c r="C28" s="102">
        <v>26</v>
      </c>
      <c r="D28" s="8">
        <v>2</v>
      </c>
      <c r="E28" s="8">
        <v>31</v>
      </c>
      <c r="F28" s="8">
        <v>0</v>
      </c>
      <c r="G28" s="8">
        <v>1</v>
      </c>
      <c r="H28" s="103">
        <v>0</v>
      </c>
      <c r="I28" s="52">
        <v>62</v>
      </c>
      <c r="J28" s="53">
        <v>8</v>
      </c>
      <c r="K28" s="54">
        <v>0</v>
      </c>
      <c r="L28" s="60">
        <v>10</v>
      </c>
      <c r="M28" s="61">
        <v>29</v>
      </c>
      <c r="N28" s="61">
        <v>31</v>
      </c>
      <c r="O28" s="61">
        <v>0</v>
      </c>
      <c r="P28" s="104">
        <v>0</v>
      </c>
      <c r="Q28" s="68">
        <v>55</v>
      </c>
      <c r="R28" s="69">
        <v>1</v>
      </c>
      <c r="S28" s="69">
        <v>1</v>
      </c>
      <c r="T28" s="69">
        <v>13</v>
      </c>
      <c r="U28" s="69">
        <v>0</v>
      </c>
      <c r="V28" s="105">
        <v>0</v>
      </c>
      <c r="W28" s="3"/>
    </row>
    <row r="29" spans="1:23" ht="12.75" customHeight="1" x14ac:dyDescent="0.4">
      <c r="A29" s="43" t="s">
        <v>123</v>
      </c>
      <c r="B29" s="101">
        <v>62</v>
      </c>
      <c r="C29" s="102">
        <v>26</v>
      </c>
      <c r="D29" s="8">
        <v>2</v>
      </c>
      <c r="E29" s="8">
        <v>31</v>
      </c>
      <c r="F29" s="8">
        <v>1</v>
      </c>
      <c r="G29" s="8">
        <v>2</v>
      </c>
      <c r="H29" s="103">
        <v>0</v>
      </c>
      <c r="I29" s="52">
        <v>50</v>
      </c>
      <c r="J29" s="53">
        <v>7</v>
      </c>
      <c r="K29" s="54">
        <v>5</v>
      </c>
      <c r="L29" s="60">
        <v>12</v>
      </c>
      <c r="M29" s="61">
        <v>17</v>
      </c>
      <c r="N29" s="61">
        <v>33</v>
      </c>
      <c r="O29" s="61">
        <v>0</v>
      </c>
      <c r="P29" s="104">
        <v>0</v>
      </c>
      <c r="Q29" s="68">
        <v>48</v>
      </c>
      <c r="R29" s="69">
        <v>1</v>
      </c>
      <c r="S29" s="69">
        <v>1</v>
      </c>
      <c r="T29" s="69">
        <v>9</v>
      </c>
      <c r="U29" s="69">
        <v>2</v>
      </c>
      <c r="V29" s="105">
        <v>1</v>
      </c>
      <c r="W29" s="3"/>
    </row>
    <row r="30" spans="1:23" ht="12.7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2.75" customHeight="1" x14ac:dyDescent="0.4">
      <c r="A31" s="113" t="s">
        <v>21</v>
      </c>
      <c r="B31" s="109"/>
      <c r="C31" s="109"/>
      <c r="D31" s="109"/>
      <c r="E31" s="10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2.75" customHeight="1" x14ac:dyDescent="0.4">
      <c r="A32" s="114" t="s">
        <v>22</v>
      </c>
      <c r="B32" s="109"/>
      <c r="C32" s="109"/>
      <c r="D32" s="109"/>
      <c r="E32" s="10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2.75" customHeight="1" x14ac:dyDescent="0.4">
      <c r="A33" s="114" t="s">
        <v>24</v>
      </c>
      <c r="B33" s="110"/>
      <c r="C33" s="110"/>
      <c r="D33" s="110"/>
      <c r="E33" s="1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2.75" customHeight="1" x14ac:dyDescent="0.4">
      <c r="A34" s="114" t="s">
        <v>45</v>
      </c>
      <c r="B34" s="110"/>
      <c r="C34" s="110"/>
      <c r="D34" s="110"/>
      <c r="E34" s="110"/>
      <c r="F34" s="110"/>
      <c r="G34" s="110"/>
      <c r="H34" s="1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.7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</sheetData>
  <sortState xmlns:xlrd2="http://schemas.microsoft.com/office/spreadsheetml/2017/richdata2" ref="A8:U29">
    <sortCondition descending="1" ref="A13"/>
  </sortState>
  <mergeCells count="6">
    <mergeCell ref="Q4:V4"/>
    <mergeCell ref="L4:P4"/>
    <mergeCell ref="A4:A5"/>
    <mergeCell ref="B4:B5"/>
    <mergeCell ref="C4:H4"/>
    <mergeCell ref="I4:K4"/>
  </mergeCells>
  <pageMargins left="0.7" right="0.7" top="0.75" bottom="0.75" header="0.3" footer="0.3"/>
  <pageSetup paperSize="9" scale="3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M104"/>
  <sheetViews>
    <sheetView tabSelected="1" view="pageLayout" zoomScale="65" zoomScaleNormal="100" zoomScaleSheetLayoutView="96" zoomScalePageLayoutView="65" workbookViewId="0">
      <selection activeCell="G19" sqref="G19"/>
    </sheetView>
  </sheetViews>
  <sheetFormatPr defaultColWidth="8.69140625" defaultRowHeight="14.6" x14ac:dyDescent="0.4"/>
  <cols>
    <col min="1" max="1" width="65.4609375" style="10" customWidth="1"/>
    <col min="2" max="2" width="14.53515625" style="10" customWidth="1"/>
    <col min="3" max="7" width="13.4609375" style="10" customWidth="1"/>
    <col min="8" max="8" width="17" style="10" customWidth="1"/>
    <col min="9" max="9" width="11.3828125" style="194" bestFit="1" customWidth="1"/>
    <col min="10" max="39" width="8.69140625" style="194"/>
    <col min="40" max="16384" width="8.69140625" style="10"/>
  </cols>
  <sheetData>
    <row r="1" spans="1:39" s="6" customFormat="1" ht="36" thickBot="1" x14ac:dyDescent="0.45">
      <c r="A1" s="14" t="s">
        <v>49</v>
      </c>
      <c r="B1" s="15" t="s">
        <v>50</v>
      </c>
      <c r="C1" s="15" t="s">
        <v>51</v>
      </c>
      <c r="D1" s="15" t="s">
        <v>52</v>
      </c>
      <c r="E1" s="15" t="s">
        <v>53</v>
      </c>
      <c r="F1" s="15" t="s">
        <v>68</v>
      </c>
      <c r="G1" s="15" t="s">
        <v>69</v>
      </c>
      <c r="H1" s="26" t="s">
        <v>112</v>
      </c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</row>
    <row r="2" spans="1:39" s="6" customFormat="1" ht="26.15" customHeight="1" thickBot="1" x14ac:dyDescent="0.45">
      <c r="A2" s="268" t="s">
        <v>54</v>
      </c>
      <c r="B2" s="269"/>
      <c r="C2" s="269"/>
      <c r="D2" s="269"/>
      <c r="E2" s="269"/>
      <c r="F2" s="269"/>
      <c r="G2" s="269"/>
      <c r="H2" s="270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</row>
    <row r="3" spans="1:39" ht="192" customHeight="1" thickBot="1" x14ac:dyDescent="0.45">
      <c r="A3" s="207"/>
      <c r="B3" s="208" t="s">
        <v>61</v>
      </c>
      <c r="C3" s="16">
        <f>Tables!B25</f>
        <v>62</v>
      </c>
      <c r="D3" s="17">
        <f>AVERAGE(Tables!B23:B25)</f>
        <v>67.333333333333329</v>
      </c>
      <c r="E3" s="18">
        <f>Tables!B13</f>
        <v>72</v>
      </c>
      <c r="F3" s="18">
        <f>SUM(Tables!B14:B25)</f>
        <v>777</v>
      </c>
      <c r="G3" s="18">
        <f>SUM(Tables!B2:B13)</f>
        <v>678</v>
      </c>
      <c r="H3" s="28">
        <f>(F3-G3)/G3</f>
        <v>0.14601769911504425</v>
      </c>
    </row>
    <row r="4" spans="1:39" s="6" customFormat="1" ht="26.15" customHeight="1" thickBot="1" x14ac:dyDescent="0.45">
      <c r="A4" s="268" t="s">
        <v>62</v>
      </c>
      <c r="B4" s="269"/>
      <c r="C4" s="271"/>
      <c r="D4" s="271"/>
      <c r="E4" s="271"/>
      <c r="F4" s="271"/>
      <c r="G4" s="271"/>
      <c r="H4" s="272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</row>
    <row r="5" spans="1:39" ht="32.15" customHeight="1" x14ac:dyDescent="0.4">
      <c r="A5" s="19"/>
      <c r="B5" s="209" t="s">
        <v>6</v>
      </c>
      <c r="C5" s="19">
        <f>Tables!I25</f>
        <v>26</v>
      </c>
      <c r="D5" s="20">
        <f>AVERAGE(Tables!I23:I25)</f>
        <v>21.333333333333332</v>
      </c>
      <c r="E5" s="21">
        <f>Tables!I13</f>
        <v>24</v>
      </c>
      <c r="F5" s="21">
        <f>SUM(Tables!I14:I25)</f>
        <v>235</v>
      </c>
      <c r="G5" s="21">
        <f>SUM(Tables!I2:I13)</f>
        <v>321</v>
      </c>
      <c r="H5" s="212">
        <f>(F5-G5)/G5</f>
        <v>-0.26791277258566976</v>
      </c>
    </row>
    <row r="6" spans="1:39" ht="32.15" customHeight="1" x14ac:dyDescent="0.4">
      <c r="A6" s="22"/>
      <c r="B6" s="210" t="s">
        <v>7</v>
      </c>
      <c r="C6" s="22">
        <f>Tables!J25</f>
        <v>2</v>
      </c>
      <c r="D6" s="12">
        <f>AVERAGE(Tables!J23:J25)</f>
        <v>3.6666666666666665</v>
      </c>
      <c r="E6" s="13">
        <f>Tables!J13</f>
        <v>12</v>
      </c>
      <c r="F6" s="13">
        <f>SUM(Tables!J14:J25)</f>
        <v>61</v>
      </c>
      <c r="G6" s="13">
        <f>SUM(Tables!J2:J13)</f>
        <v>96</v>
      </c>
      <c r="H6" s="213">
        <f t="shared" ref="H6:H9" si="0">(F6-G6)/G6</f>
        <v>-0.36458333333333331</v>
      </c>
    </row>
    <row r="7" spans="1:39" ht="32.15" customHeight="1" x14ac:dyDescent="0.4">
      <c r="A7" s="22"/>
      <c r="B7" s="210" t="s">
        <v>8</v>
      </c>
      <c r="C7" s="22">
        <f>Tables!K25</f>
        <v>31</v>
      </c>
      <c r="D7" s="12">
        <f>AVERAGE(Tables!K23:K25)</f>
        <v>35.333333333333336</v>
      </c>
      <c r="E7" s="13">
        <f>Tables!K13</f>
        <v>31</v>
      </c>
      <c r="F7" s="13">
        <f>SUM(Tables!K14:K25)</f>
        <v>400</v>
      </c>
      <c r="G7" s="13">
        <f>SUM(Tables!K2:K13)</f>
        <v>391</v>
      </c>
      <c r="H7" s="213">
        <f t="shared" si="0"/>
        <v>2.3017902813299233E-2</v>
      </c>
    </row>
    <row r="8" spans="1:39" ht="32.15" customHeight="1" x14ac:dyDescent="0.4">
      <c r="A8" s="22"/>
      <c r="B8" s="210" t="s">
        <v>9</v>
      </c>
      <c r="C8" s="22">
        <f>Tables!L25</f>
        <v>1</v>
      </c>
      <c r="D8" s="12">
        <f>AVERAGE(Tables!L23:L25)</f>
        <v>1</v>
      </c>
      <c r="E8" s="13">
        <f>Tables!L13</f>
        <v>1</v>
      </c>
      <c r="F8" s="13">
        <f>SUM(Tables!L14:L25)</f>
        <v>14</v>
      </c>
      <c r="G8" s="13">
        <f>SUM(Tables!L2:L13)</f>
        <v>11</v>
      </c>
      <c r="H8" s="213">
        <f t="shared" si="0"/>
        <v>0.27272727272727271</v>
      </c>
    </row>
    <row r="9" spans="1:39" ht="32.15" customHeight="1" x14ac:dyDescent="0.4">
      <c r="A9" s="22"/>
      <c r="B9" s="210" t="s">
        <v>23</v>
      </c>
      <c r="C9" s="22">
        <f>Tables!M25</f>
        <v>2</v>
      </c>
      <c r="D9" s="12">
        <f>AVERAGE(Tables!M23:M25)</f>
        <v>2.3333333333333335</v>
      </c>
      <c r="E9" s="13">
        <f>Tables!M13</f>
        <v>4</v>
      </c>
      <c r="F9" s="13">
        <f>SUM(Tables!M14:M25)</f>
        <v>45</v>
      </c>
      <c r="G9" s="13">
        <f>SUM(Tables!M2:M13)</f>
        <v>54</v>
      </c>
      <c r="H9" s="213">
        <f t="shared" si="0"/>
        <v>-0.16666666666666666</v>
      </c>
    </row>
    <row r="10" spans="1:39" ht="32.15" customHeight="1" thickBot="1" x14ac:dyDescent="0.45">
      <c r="A10" s="23"/>
      <c r="B10" s="211" t="s">
        <v>10</v>
      </c>
      <c r="C10" s="23">
        <f>Tables!N25</f>
        <v>0</v>
      </c>
      <c r="D10" s="24">
        <f>AVERAGE(Tables!N23:N25)</f>
        <v>0</v>
      </c>
      <c r="E10" s="25">
        <f>Tables!N13</f>
        <v>0</v>
      </c>
      <c r="F10" s="25">
        <f>SUM(Tables!N14:N25)</f>
        <v>0</v>
      </c>
      <c r="G10" s="25">
        <f>SUM(Tables!N2:N13)</f>
        <v>0</v>
      </c>
      <c r="H10" s="214" t="s">
        <v>77</v>
      </c>
    </row>
    <row r="11" spans="1:39" s="6" customFormat="1" ht="26.15" customHeight="1" thickBot="1" x14ac:dyDescent="0.45">
      <c r="A11" s="268" t="s">
        <v>63</v>
      </c>
      <c r="B11" s="269"/>
      <c r="C11" s="273"/>
      <c r="D11" s="273"/>
      <c r="E11" s="273"/>
      <c r="F11" s="273"/>
      <c r="G11" s="273"/>
      <c r="H11" s="274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</row>
    <row r="12" spans="1:39" ht="64" customHeight="1" x14ac:dyDescent="0.4">
      <c r="A12" s="200"/>
      <c r="B12" s="200" t="s">
        <v>1</v>
      </c>
      <c r="C12" s="19">
        <f>Tables!R25</f>
        <v>7</v>
      </c>
      <c r="D12" s="20">
        <f>AVERAGE(Tables!R23:R25)</f>
        <v>7.666666666666667</v>
      </c>
      <c r="E12" s="21">
        <f>Tables!R13</f>
        <v>7</v>
      </c>
      <c r="F12" s="21">
        <f>SUM(Tables!R14:R25)</f>
        <v>81</v>
      </c>
      <c r="G12" s="21">
        <f>SUM(Tables!R2:R13)</f>
        <v>61</v>
      </c>
      <c r="H12" s="212">
        <f>(F12-G12)/G12</f>
        <v>0.32786885245901637</v>
      </c>
    </row>
    <row r="13" spans="1:39" ht="64" customHeight="1" x14ac:dyDescent="0.4">
      <c r="A13" s="206"/>
      <c r="B13" s="206" t="s">
        <v>0</v>
      </c>
      <c r="C13" s="22">
        <f>Tables!Q25</f>
        <v>50</v>
      </c>
      <c r="D13" s="12">
        <f>AVERAGE(Tables!Q23:Q25)</f>
        <v>57.666666666666664</v>
      </c>
      <c r="E13" s="13">
        <f>Tables!Q13</f>
        <v>62</v>
      </c>
      <c r="F13" s="13">
        <f>SUM(Tables!Q14:Q25)</f>
        <v>687</v>
      </c>
      <c r="G13" s="13">
        <f>SUM(Tables!Q2:Q13)</f>
        <v>608</v>
      </c>
      <c r="H13" s="213">
        <f t="shared" ref="H13:H14" si="1">(F13-G13)/G13</f>
        <v>0.12993421052631579</v>
      </c>
    </row>
    <row r="14" spans="1:39" ht="64" customHeight="1" thickBot="1" x14ac:dyDescent="0.45">
      <c r="A14" s="229"/>
      <c r="B14" s="229" t="s">
        <v>55</v>
      </c>
      <c r="C14" s="215">
        <f>Tables!S25</f>
        <v>5</v>
      </c>
      <c r="D14" s="216">
        <f>AVERAGE(Tables!S23:S25)</f>
        <v>2</v>
      </c>
      <c r="E14" s="217">
        <f>Tables!S13</f>
        <v>3</v>
      </c>
      <c r="F14" s="217">
        <f>SUM(Tables!S14:S25)</f>
        <v>9</v>
      </c>
      <c r="G14" s="217">
        <f>SUM(Tables!S2:S13)</f>
        <v>9</v>
      </c>
      <c r="H14" s="218">
        <f t="shared" si="1"/>
        <v>0</v>
      </c>
    </row>
    <row r="15" spans="1:39" s="6" customFormat="1" ht="26.15" customHeight="1" thickBot="1" x14ac:dyDescent="0.45">
      <c r="A15" s="268" t="s">
        <v>64</v>
      </c>
      <c r="B15" s="269"/>
      <c r="C15" s="269"/>
      <c r="D15" s="269"/>
      <c r="E15" s="269"/>
      <c r="F15" s="269"/>
      <c r="G15" s="269"/>
      <c r="H15" s="270"/>
      <c r="I15" s="193"/>
      <c r="J15" s="198"/>
      <c r="K15" s="198"/>
      <c r="L15" s="198"/>
      <c r="M15" s="198"/>
      <c r="N15" s="198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</row>
    <row r="16" spans="1:39" ht="48" customHeight="1" x14ac:dyDescent="0.4">
      <c r="A16" s="200"/>
      <c r="B16" s="200" t="s">
        <v>15</v>
      </c>
      <c r="C16" s="19">
        <f>Tables!V25</f>
        <v>12</v>
      </c>
      <c r="D16" s="20">
        <f>AVERAGE(Tables!V23:V25)</f>
        <v>10.666666666666666</v>
      </c>
      <c r="E16" s="21">
        <f>Tables!V13</f>
        <v>10</v>
      </c>
      <c r="F16" s="21">
        <f>SUM(Tables!V14:V25)</f>
        <v>101</v>
      </c>
      <c r="G16" s="21">
        <f>SUM(Tables!V2:V13)</f>
        <v>63</v>
      </c>
      <c r="H16" s="212">
        <f t="shared" ref="H16:H28" si="2">(F16-G16)/G16</f>
        <v>0.60317460317460314</v>
      </c>
      <c r="J16" s="195"/>
      <c r="K16" s="199"/>
      <c r="L16" s="196"/>
      <c r="M16" s="195"/>
      <c r="N16" s="195"/>
    </row>
    <row r="17" spans="1:39" ht="48" customHeight="1" x14ac:dyDescent="0.4">
      <c r="A17" s="201"/>
      <c r="B17" s="206" t="s">
        <v>65</v>
      </c>
      <c r="C17" s="22">
        <f>Tables!W25</f>
        <v>17</v>
      </c>
      <c r="D17" s="12">
        <f>AVERAGE(Tables!W23:W25)</f>
        <v>25.333333333333332</v>
      </c>
      <c r="E17" s="13">
        <f>Tables!W13</f>
        <v>26</v>
      </c>
      <c r="F17" s="13">
        <f>SUM(Tables!W14:W25)</f>
        <v>305</v>
      </c>
      <c r="G17" s="13">
        <f>SUM(Tables!W2:W13)</f>
        <v>287</v>
      </c>
      <c r="H17" s="213">
        <f>(F17-G17)/G17</f>
        <v>6.2717770034843204E-2</v>
      </c>
      <c r="J17" s="195"/>
      <c r="K17" s="199"/>
      <c r="L17" s="196"/>
      <c r="M17" s="195"/>
      <c r="N17" s="195"/>
    </row>
    <row r="18" spans="1:39" ht="48" customHeight="1" x14ac:dyDescent="0.4">
      <c r="A18" s="201"/>
      <c r="B18" s="206" t="s">
        <v>66</v>
      </c>
      <c r="C18" s="22">
        <f>Tables!X22</f>
        <v>14</v>
      </c>
      <c r="D18" s="12">
        <f>AVERAGE(Tables!X20:X22)</f>
        <v>31.666666666666668</v>
      </c>
      <c r="E18" s="13">
        <f>Tables!X10</f>
        <v>23</v>
      </c>
      <c r="F18" s="13">
        <f>SUM(Tables!X11:X22)</f>
        <v>345</v>
      </c>
      <c r="G18" s="13">
        <f>SUM(Tables!X2:X13)</f>
        <v>312</v>
      </c>
      <c r="H18" s="213">
        <f t="shared" ref="H18" si="3">(F18-G18)/G18</f>
        <v>0.10576923076923077</v>
      </c>
      <c r="J18" s="195"/>
      <c r="K18" s="199"/>
      <c r="L18" s="196"/>
      <c r="M18" s="195"/>
      <c r="N18" s="195"/>
    </row>
    <row r="19" spans="1:39" ht="48" customHeight="1" thickBot="1" x14ac:dyDescent="0.45">
      <c r="A19" s="202"/>
      <c r="B19" s="202" t="s">
        <v>4</v>
      </c>
      <c r="C19" s="23">
        <f>Tables!Y25</f>
        <v>0</v>
      </c>
      <c r="D19" s="24">
        <f>AVERAGE(Tables!Y23:Y25)</f>
        <v>0</v>
      </c>
      <c r="E19" s="25">
        <f>Tables!Y13</f>
        <v>2</v>
      </c>
      <c r="F19" s="25">
        <f>SUM(Tables!Y14:Y25)</f>
        <v>7</v>
      </c>
      <c r="G19" s="25">
        <f>SUM(Tables!Y2:Y13)</f>
        <v>4</v>
      </c>
      <c r="H19" s="214">
        <f t="shared" si="2"/>
        <v>0.75</v>
      </c>
      <c r="J19" s="195"/>
      <c r="K19" s="199"/>
      <c r="L19" s="197"/>
      <c r="M19" s="195"/>
      <c r="N19" s="195"/>
    </row>
    <row r="20" spans="1:39" s="6" customFormat="1" ht="26.15" customHeight="1" thickBot="1" x14ac:dyDescent="0.45">
      <c r="A20" s="268" t="s">
        <v>67</v>
      </c>
      <c r="B20" s="269"/>
      <c r="C20" s="273"/>
      <c r="D20" s="273"/>
      <c r="E20" s="273"/>
      <c r="F20" s="273"/>
      <c r="G20" s="273"/>
      <c r="H20" s="274"/>
      <c r="I20" s="193"/>
      <c r="J20" s="198"/>
      <c r="K20" s="199"/>
      <c r="L20" s="197"/>
      <c r="M20" s="198"/>
      <c r="N20" s="198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</row>
    <row r="21" spans="1:39" ht="48" customHeight="1" x14ac:dyDescent="0.4">
      <c r="A21" s="200"/>
      <c r="B21" s="203" t="s">
        <v>12</v>
      </c>
      <c r="C21" s="19">
        <f>Tables!AC25</f>
        <v>48</v>
      </c>
      <c r="D21" s="20">
        <f>AVERAGE(Tables!AC23:AC25)</f>
        <v>50.333333333333336</v>
      </c>
      <c r="E21" s="21">
        <f>Tables!AC13</f>
        <v>49</v>
      </c>
      <c r="F21" s="21">
        <f>SUM(Tables!AC14:AC25)</f>
        <v>585</v>
      </c>
      <c r="G21" s="21">
        <f>SUM(Tables!AC2:AC13)</f>
        <v>539</v>
      </c>
      <c r="H21" s="212">
        <f t="shared" si="2"/>
        <v>8.534322820037106E-2</v>
      </c>
      <c r="J21" s="195"/>
      <c r="K21" s="199"/>
      <c r="L21" s="197"/>
      <c r="M21" s="195"/>
      <c r="N21" s="195"/>
    </row>
    <row r="22" spans="1:39" ht="48" customHeight="1" x14ac:dyDescent="0.4">
      <c r="A22" s="206"/>
      <c r="B22" s="204" t="s">
        <v>11</v>
      </c>
      <c r="C22" s="22">
        <f>Tables!AD25</f>
        <v>1</v>
      </c>
      <c r="D22" s="12">
        <f>AVERAGE(Tables!AD23:AD25)</f>
        <v>2.3333333333333335</v>
      </c>
      <c r="E22" s="13">
        <f>Tables!AD13</f>
        <v>4</v>
      </c>
      <c r="F22" s="13">
        <f>SUM(Tables!AD14:AD25)</f>
        <v>31</v>
      </c>
      <c r="G22" s="13">
        <f>SUM(Tables!AD2:AD13)</f>
        <v>23</v>
      </c>
      <c r="H22" s="213">
        <f t="shared" si="2"/>
        <v>0.34782608695652173</v>
      </c>
      <c r="J22" s="195"/>
      <c r="K22" s="199"/>
      <c r="L22" s="197"/>
      <c r="M22" s="195"/>
      <c r="N22" s="195"/>
    </row>
    <row r="23" spans="1:39" ht="48" customHeight="1" x14ac:dyDescent="0.4">
      <c r="A23" s="206"/>
      <c r="B23" s="204" t="s">
        <v>13</v>
      </c>
      <c r="C23" s="22">
        <f>Tables!AE25</f>
        <v>1</v>
      </c>
      <c r="D23" s="12">
        <f>AVERAGE(Tables!AE23:AE25)</f>
        <v>1</v>
      </c>
      <c r="E23" s="13">
        <f>Tables!AE13</f>
        <v>0</v>
      </c>
      <c r="F23" s="13">
        <f>SUM(Tables!AE14:AE25)</f>
        <v>28</v>
      </c>
      <c r="G23" s="13">
        <f>SUM(Tables!AE2:AE13)</f>
        <v>13</v>
      </c>
      <c r="H23" s="213">
        <f t="shared" si="2"/>
        <v>1.1538461538461537</v>
      </c>
      <c r="J23" s="195"/>
      <c r="K23" s="199"/>
      <c r="L23" s="197"/>
      <c r="M23" s="195"/>
      <c r="N23" s="195"/>
    </row>
    <row r="24" spans="1:39" ht="48" customHeight="1" thickBot="1" x14ac:dyDescent="0.45">
      <c r="A24" s="202"/>
      <c r="B24" s="205" t="s">
        <v>14</v>
      </c>
      <c r="C24" s="215">
        <f>Tables!AF25</f>
        <v>9</v>
      </c>
      <c r="D24" s="216">
        <f>AVERAGE(Tables!AF23:AF25)</f>
        <v>11.666666666666666</v>
      </c>
      <c r="E24" s="217">
        <f>Tables!AF13</f>
        <v>16</v>
      </c>
      <c r="F24" s="217">
        <f>SUM(Tables!AF14:AF25)</f>
        <v>105</v>
      </c>
      <c r="G24" s="217">
        <f>SUM(Tables!AF2:AF13)</f>
        <v>83</v>
      </c>
      <c r="H24" s="218">
        <f t="shared" si="2"/>
        <v>0.26506024096385544</v>
      </c>
      <c r="J24" s="195"/>
      <c r="K24" s="195"/>
      <c r="L24" s="195"/>
      <c r="M24" s="195"/>
      <c r="N24" s="195"/>
    </row>
    <row r="25" spans="1:39" ht="48" customHeight="1" x14ac:dyDescent="0.4">
      <c r="A25" s="200"/>
      <c r="B25" s="203" t="s">
        <v>78</v>
      </c>
      <c r="C25" s="219">
        <f>Tables!AK25</f>
        <v>7.5850713154725968E-2</v>
      </c>
      <c r="D25" s="29">
        <f>AVERAGE(Tables!AK23:AK25)</f>
        <v>7.9537900599747371E-2</v>
      </c>
      <c r="E25" s="29">
        <f>Tables!AK13</f>
        <v>7.7430936345449425E-2</v>
      </c>
      <c r="F25" s="29">
        <f>SUM(Tables!AK14:AK25)</f>
        <v>0.92443056657322265</v>
      </c>
      <c r="G25" s="29">
        <f>SUM(Tables!AK2:AK13)</f>
        <v>0.85174029979994381</v>
      </c>
      <c r="H25" s="212">
        <f t="shared" si="2"/>
        <v>8.5343228200370783E-2</v>
      </c>
      <c r="I25" s="230">
        <f>D25/D$25</f>
        <v>1</v>
      </c>
      <c r="J25" s="230">
        <f t="shared" ref="J25:L28" si="4">E25/E$25</f>
        <v>1</v>
      </c>
      <c r="K25" s="230">
        <f t="shared" si="4"/>
        <v>1</v>
      </c>
      <c r="L25" s="230">
        <f t="shared" si="4"/>
        <v>1</v>
      </c>
    </row>
    <row r="26" spans="1:39" ht="48" customHeight="1" x14ac:dyDescent="0.4">
      <c r="A26" s="206"/>
      <c r="B26" s="204" t="s">
        <v>79</v>
      </c>
      <c r="C26" s="220">
        <f>Tables!AL25</f>
        <v>7.0511916513890854E-2</v>
      </c>
      <c r="D26" s="30">
        <f>AVERAGE(Tables!AL23:AL25)</f>
        <v>0.16452780519907864</v>
      </c>
      <c r="E26" s="30">
        <f>Tables!AL13</f>
        <v>0.28204766605556342</v>
      </c>
      <c r="F26" s="30">
        <f>SUM(Tables!AL14:AL25)</f>
        <v>2.1858694119306161</v>
      </c>
      <c r="G26" s="30">
        <f>SUM(Tables!AL2:AL13)</f>
        <v>1.6217740798194895</v>
      </c>
      <c r="H26" s="213">
        <f t="shared" si="2"/>
        <v>0.34782608695652162</v>
      </c>
      <c r="I26" s="230">
        <f>D26/D$25</f>
        <v>2.0685459882455235</v>
      </c>
      <c r="J26" s="230">
        <f t="shared" si="4"/>
        <v>3.6425707781349748</v>
      </c>
      <c r="K26" s="230">
        <f t="shared" si="4"/>
        <v>2.364557697430353</v>
      </c>
      <c r="L26" s="230">
        <f t="shared" si="4"/>
        <v>1.9040710885705545</v>
      </c>
    </row>
    <row r="27" spans="1:39" ht="48" customHeight="1" x14ac:dyDescent="0.4">
      <c r="A27" s="206"/>
      <c r="B27" s="204" t="s">
        <v>80</v>
      </c>
      <c r="C27" s="220">
        <f>Tables!AM25</f>
        <v>3.9328273095528374E-2</v>
      </c>
      <c r="D27" s="30">
        <f>AVERAGE(Tables!AM23:AM25)</f>
        <v>3.9328273095528374E-2</v>
      </c>
      <c r="E27" s="30">
        <f>Tables!AM13</f>
        <v>0</v>
      </c>
      <c r="F27" s="30">
        <f>SUM(Tables!AM14:AM25)</f>
        <v>1.1011916466747949</v>
      </c>
      <c r="G27" s="30">
        <f>SUM(Tables!AM2:AM13)</f>
        <v>0.51126755024186887</v>
      </c>
      <c r="H27" s="213">
        <f t="shared" si="2"/>
        <v>1.1538461538461546</v>
      </c>
      <c r="I27" s="230">
        <f>D27/D$25</f>
        <v>0.49445953185811503</v>
      </c>
      <c r="J27" s="230">
        <f t="shared" si="4"/>
        <v>0</v>
      </c>
      <c r="K27" s="230">
        <f t="shared" si="4"/>
        <v>1.1912107696274139</v>
      </c>
      <c r="L27" s="230">
        <f t="shared" si="4"/>
        <v>0.60026225172385883</v>
      </c>
    </row>
    <row r="28" spans="1:39" ht="48" customHeight="1" thickBot="1" x14ac:dyDescent="0.45">
      <c r="A28" s="202"/>
      <c r="B28" s="205" t="s">
        <v>81</v>
      </c>
      <c r="C28" s="221">
        <f>Tables!AN25</f>
        <v>0.53182059918454172</v>
      </c>
      <c r="D28" s="31">
        <f>AVERAGE(Tables!AN23:AN25)</f>
        <v>0.6893970730169986</v>
      </c>
      <c r="E28" s="31">
        <f>Tables!AN13</f>
        <v>0.94545884299474092</v>
      </c>
      <c r="F28" s="31">
        <f>SUM(Tables!AN14:AN25)</f>
        <v>6.2045736571529861</v>
      </c>
      <c r="G28" s="31">
        <f>SUM(Tables!AN2:AN13)</f>
        <v>4.9045677480352179</v>
      </c>
      <c r="H28" s="214">
        <f t="shared" si="2"/>
        <v>0.26506024096385533</v>
      </c>
      <c r="I28" s="230">
        <f>D28/D$25</f>
        <v>8.6675291630615181</v>
      </c>
      <c r="J28" s="230">
        <f t="shared" si="4"/>
        <v>12.210350121257511</v>
      </c>
      <c r="K28" s="230">
        <f t="shared" si="4"/>
        <v>6.7117789929348168</v>
      </c>
      <c r="L28" s="230">
        <f t="shared" si="4"/>
        <v>5.7582901140021194</v>
      </c>
    </row>
    <row r="29" spans="1:39" s="194" customFormat="1" x14ac:dyDescent="0.4"/>
    <row r="30" spans="1:39" s="194" customFormat="1" x14ac:dyDescent="0.4"/>
    <row r="31" spans="1:39" s="194" customFormat="1" x14ac:dyDescent="0.4"/>
    <row r="32" spans="1:39" s="194" customFormat="1" x14ac:dyDescent="0.4"/>
    <row r="33" s="194" customFormat="1" x14ac:dyDescent="0.4"/>
    <row r="34" s="194" customFormat="1" x14ac:dyDescent="0.4"/>
    <row r="35" s="194" customFormat="1" x14ac:dyDescent="0.4"/>
    <row r="36" s="194" customFormat="1" x14ac:dyDescent="0.4"/>
    <row r="37" s="194" customFormat="1" x14ac:dyDescent="0.4"/>
    <row r="38" s="194" customFormat="1" x14ac:dyDescent="0.4"/>
    <row r="39" s="194" customFormat="1" x14ac:dyDescent="0.4"/>
    <row r="40" s="194" customFormat="1" x14ac:dyDescent="0.4"/>
    <row r="41" s="194" customFormat="1" x14ac:dyDescent="0.4"/>
    <row r="42" s="194" customFormat="1" x14ac:dyDescent="0.4"/>
    <row r="43" s="194" customFormat="1" x14ac:dyDescent="0.4"/>
    <row r="44" s="194" customFormat="1" x14ac:dyDescent="0.4"/>
    <row r="45" s="194" customFormat="1" x14ac:dyDescent="0.4"/>
    <row r="46" s="194" customFormat="1" x14ac:dyDescent="0.4"/>
    <row r="47" s="194" customFormat="1" x14ac:dyDescent="0.4"/>
    <row r="48" s="194" customFormat="1" x14ac:dyDescent="0.4"/>
    <row r="49" s="194" customFormat="1" x14ac:dyDescent="0.4"/>
    <row r="50" s="194" customFormat="1" x14ac:dyDescent="0.4"/>
    <row r="51" s="194" customFormat="1" x14ac:dyDescent="0.4"/>
    <row r="52" s="194" customFormat="1" x14ac:dyDescent="0.4"/>
    <row r="53" s="194" customFormat="1" x14ac:dyDescent="0.4"/>
    <row r="54" s="194" customFormat="1" x14ac:dyDescent="0.4"/>
    <row r="55" s="194" customFormat="1" x14ac:dyDescent="0.4"/>
    <row r="56" s="194" customFormat="1" x14ac:dyDescent="0.4"/>
    <row r="57" s="194" customFormat="1" x14ac:dyDescent="0.4"/>
    <row r="58" s="194" customFormat="1" x14ac:dyDescent="0.4"/>
    <row r="59" s="194" customFormat="1" x14ac:dyDescent="0.4"/>
    <row r="60" s="194" customFormat="1" x14ac:dyDescent="0.4"/>
    <row r="61" s="194" customFormat="1" x14ac:dyDescent="0.4"/>
    <row r="62" s="194" customFormat="1" x14ac:dyDescent="0.4"/>
    <row r="63" s="194" customFormat="1" x14ac:dyDescent="0.4"/>
    <row r="64" s="194" customFormat="1" x14ac:dyDescent="0.4"/>
    <row r="65" s="194" customFormat="1" x14ac:dyDescent="0.4"/>
    <row r="66" s="194" customFormat="1" x14ac:dyDescent="0.4"/>
    <row r="67" s="194" customFormat="1" x14ac:dyDescent="0.4"/>
    <row r="68" s="194" customFormat="1" x14ac:dyDescent="0.4"/>
    <row r="69" s="194" customFormat="1" x14ac:dyDescent="0.4"/>
    <row r="70" s="194" customFormat="1" x14ac:dyDescent="0.4"/>
    <row r="71" s="194" customFormat="1" x14ac:dyDescent="0.4"/>
    <row r="72" s="194" customFormat="1" x14ac:dyDescent="0.4"/>
    <row r="73" s="194" customFormat="1" x14ac:dyDescent="0.4"/>
    <row r="74" s="194" customFormat="1" x14ac:dyDescent="0.4"/>
    <row r="75" s="194" customFormat="1" x14ac:dyDescent="0.4"/>
    <row r="76" s="194" customFormat="1" x14ac:dyDescent="0.4"/>
    <row r="77" s="194" customFormat="1" x14ac:dyDescent="0.4"/>
    <row r="78" s="194" customFormat="1" x14ac:dyDescent="0.4"/>
    <row r="79" s="194" customFormat="1" x14ac:dyDescent="0.4"/>
    <row r="80" s="194" customFormat="1" x14ac:dyDescent="0.4"/>
    <row r="81" s="194" customFormat="1" x14ac:dyDescent="0.4"/>
    <row r="82" s="194" customFormat="1" x14ac:dyDescent="0.4"/>
    <row r="83" s="194" customFormat="1" x14ac:dyDescent="0.4"/>
    <row r="84" s="194" customFormat="1" x14ac:dyDescent="0.4"/>
    <row r="85" s="194" customFormat="1" x14ac:dyDescent="0.4"/>
    <row r="86" s="194" customFormat="1" x14ac:dyDescent="0.4"/>
    <row r="87" s="194" customFormat="1" x14ac:dyDescent="0.4"/>
    <row r="88" s="194" customFormat="1" x14ac:dyDescent="0.4"/>
    <row r="89" s="194" customFormat="1" x14ac:dyDescent="0.4"/>
    <row r="90" s="194" customFormat="1" x14ac:dyDescent="0.4"/>
    <row r="91" s="194" customFormat="1" x14ac:dyDescent="0.4"/>
    <row r="92" s="194" customFormat="1" x14ac:dyDescent="0.4"/>
    <row r="93" s="194" customFormat="1" x14ac:dyDescent="0.4"/>
    <row r="94" s="194" customFormat="1" x14ac:dyDescent="0.4"/>
    <row r="95" s="194" customFormat="1" x14ac:dyDescent="0.4"/>
    <row r="96" s="194" customFormat="1" x14ac:dyDescent="0.4"/>
    <row r="97" s="194" customFormat="1" x14ac:dyDescent="0.4"/>
    <row r="98" s="194" customFormat="1" x14ac:dyDescent="0.4"/>
    <row r="99" s="194" customFormat="1" x14ac:dyDescent="0.4"/>
    <row r="100" s="194" customFormat="1" x14ac:dyDescent="0.4"/>
    <row r="101" s="194" customFormat="1" x14ac:dyDescent="0.4"/>
    <row r="102" s="194" customFormat="1" x14ac:dyDescent="0.4"/>
    <row r="103" s="194" customFormat="1" x14ac:dyDescent="0.4"/>
    <row r="104" s="194" customFormat="1" x14ac:dyDescent="0.4"/>
  </sheetData>
  <mergeCells count="5">
    <mergeCell ref="A2:H2"/>
    <mergeCell ref="A4:H4"/>
    <mergeCell ref="A11:H11"/>
    <mergeCell ref="A15:H15"/>
    <mergeCell ref="A20:H20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1200" verticalDpi="1200" r:id="rId1"/>
  <headerFooter>
    <oddHeader xml:space="preserve">&amp;LJune 2022&amp;COfficial
Taser Framework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Data</vt:lpstr>
      <vt:lpstr>Tables</vt:lpstr>
      <vt:lpstr>Data Set</vt:lpstr>
      <vt:lpstr>Display</vt:lpstr>
      <vt:lpstr>'Data Set'!Print_Area</vt:lpstr>
      <vt:lpstr>Display!Print_Area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Jeffcoate Conor</dc:creator>
  <cp:lastModifiedBy>White Jude</cp:lastModifiedBy>
  <cp:lastPrinted>2022-02-02T14:52:26Z</cp:lastPrinted>
  <dcterms:created xsi:type="dcterms:W3CDTF">2020-08-05T13:53:23Z</dcterms:created>
  <dcterms:modified xsi:type="dcterms:W3CDTF">2022-07-08T10:46:16Z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cd4a6a-7014-48d6-b119-9b8b87129a7e_Enabled">
    <vt:lpwstr>True</vt:lpwstr>
  </property>
  <property fmtid="{D5CDD505-2E9C-101B-9397-08002B2CF9AE}" pid="3" name="MSIP_Label_d9cd4a6a-7014-48d6-b119-9b8b87129a7e_SiteId">
    <vt:lpwstr>bf91f36f-ab89-4503-8c3f-04a029f837d3</vt:lpwstr>
  </property>
  <property fmtid="{D5CDD505-2E9C-101B-9397-08002B2CF9AE}" pid="4" name="MSIP_Label_d9cd4a6a-7014-48d6-b119-9b8b87129a7e_Owner">
    <vt:lpwstr>Conor.Jeffcoate@northants.police.uk</vt:lpwstr>
  </property>
  <property fmtid="{D5CDD505-2E9C-101B-9397-08002B2CF9AE}" pid="5" name="MSIP_Label_d9cd4a6a-7014-48d6-b119-9b8b87129a7e_SetDate">
    <vt:lpwstr>2021-05-11T08:43:10.1880686Z</vt:lpwstr>
  </property>
  <property fmtid="{D5CDD505-2E9C-101B-9397-08002B2CF9AE}" pid="6" name="MSIP_Label_d9cd4a6a-7014-48d6-b119-9b8b87129a7e_Name">
    <vt:lpwstr>OFFICIAL</vt:lpwstr>
  </property>
  <property fmtid="{D5CDD505-2E9C-101B-9397-08002B2CF9AE}" pid="7" name="MSIP_Label_d9cd4a6a-7014-48d6-b119-9b8b87129a7e_Application">
    <vt:lpwstr>Microsoft Azure Information Protection</vt:lpwstr>
  </property>
  <property fmtid="{D5CDD505-2E9C-101B-9397-08002B2CF9AE}" pid="8" name="MSIP_Label_d9cd4a6a-7014-48d6-b119-9b8b87129a7e_Extended_MSFT_Method">
    <vt:lpwstr>Automatic</vt:lpwstr>
  </property>
  <property fmtid="{D5CDD505-2E9C-101B-9397-08002B2CF9AE}" pid="9" name="Sensitivity">
    <vt:lpwstr>OFFICIAL</vt:lpwstr>
  </property>
  <property fmtid="{D5CDD505-2E9C-101B-9397-08002B2CF9AE}" pid="10" name="Workbook id">
    <vt:lpwstr>0caf5f12-36d1-4045-afb6-72f35d1a08c9</vt:lpwstr>
  </property>
  <property fmtid="{D5CDD505-2E9C-101B-9397-08002B2CF9AE}" pid="11" name="Workbook type">
    <vt:lpwstr>Custom</vt:lpwstr>
  </property>
  <property fmtid="{D5CDD505-2E9C-101B-9397-08002B2CF9AE}" pid="12" name="Workbook version">
    <vt:lpwstr>Custom</vt:lpwstr>
  </property>
</Properties>
</file>